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mc:AlternateContent xmlns:mc="http://schemas.openxmlformats.org/markup-compatibility/2006">
    <mc:Choice Requires="x15">
      <x15ac:absPath xmlns:x15ac="http://schemas.microsoft.com/office/spreadsheetml/2010/11/ac" url="C:\Users\Mike\Documents\AccesZ_Backup_20210520\htdocs\tools\"/>
    </mc:Choice>
  </mc:AlternateContent>
  <xr:revisionPtr revIDLastSave="0" documentId="8_{917E873D-00CD-4B15-9A14-08AC3C48D4FB}" xr6:coauthVersionLast="47" xr6:coauthVersionMax="47" xr10:uidLastSave="{00000000-0000-0000-0000-000000000000}"/>
  <bookViews>
    <workbookView xWindow="-110" yWindow="-110" windowWidth="38620" windowHeight="21220"/>
  </bookViews>
  <sheets>
    <sheet name="Calculator" sheetId="1" r:id="rId1"/>
    <sheet name="Introduction" sheetId="2" r:id="rId2"/>
    <sheet name="Note 1" sheetId="3" r:id="rId3"/>
    <sheet name="Note 2" sheetId="4" r:id="rId4"/>
    <sheet name="Note 3" sheetId="5" r:id="rId5"/>
    <sheet name="Note 4" sheetId="6" r:id="rId6"/>
    <sheet name="Note 5" sheetId="7" r:id="rId7"/>
    <sheet name="Note 6" sheetId="8" r:id="rId8"/>
    <sheet name="Note 7" sheetId="9" r:id="rId9"/>
    <sheet name="Note 8" sheetId="10" r:id="rId10"/>
    <sheet name="Note 9" sheetId="11" r:id="rId11"/>
    <sheet name="Example 1" sheetId="12" r:id="rId12"/>
    <sheet name="Example 2" sheetId="13" r:id="rId13"/>
    <sheet name="Example 3" sheetId="14" r:id="rId14"/>
    <sheet name="Example 4" sheetId="15" r:id="rId15"/>
  </sheets>
  <definedNames>
    <definedName name="OLE_LINK2" localSheetId="0">'Note 7'!$B$72</definedName>
    <definedName name="_xlnm.Print_Area" localSheetId="0">Calculator!$C$137:$I$188</definedName>
  </definedNames>
  <calcPr calcId="181029" iterate="1" iterateCount="1"/>
</workbook>
</file>

<file path=xl/calcChain.xml><?xml version="1.0" encoding="utf-8"?>
<calcChain xmlns="http://schemas.openxmlformats.org/spreadsheetml/2006/main">
  <c r="J11" i="1" l="1"/>
  <c r="J17" i="1"/>
  <c r="F27" i="1"/>
  <c r="G27" i="1"/>
  <c r="H27" i="1"/>
  <c r="I27" i="1"/>
  <c r="J27" i="1"/>
  <c r="F28" i="1"/>
  <c r="G28" i="1"/>
  <c r="H28" i="1"/>
  <c r="I28" i="1"/>
  <c r="J28" i="1"/>
  <c r="F29" i="1"/>
  <c r="G29" i="1"/>
  <c r="H29" i="1"/>
  <c r="I29" i="1"/>
  <c r="J29" i="1"/>
  <c r="F30" i="1"/>
  <c r="G30" i="1"/>
  <c r="H30" i="1"/>
  <c r="I30" i="1"/>
  <c r="J30" i="1"/>
  <c r="F31" i="1"/>
  <c r="G31" i="1"/>
  <c r="H31" i="1"/>
  <c r="I31" i="1"/>
  <c r="J31" i="1"/>
  <c r="F32" i="1"/>
  <c r="G32" i="1"/>
  <c r="H32" i="1"/>
  <c r="I32" i="1"/>
  <c r="J32" i="1"/>
  <c r="F33" i="1"/>
  <c r="G33" i="1"/>
  <c r="H33" i="1"/>
  <c r="I33" i="1"/>
  <c r="J33" i="1"/>
  <c r="F34" i="1"/>
  <c r="G34" i="1"/>
  <c r="H34" i="1"/>
  <c r="I34" i="1"/>
  <c r="J34" i="1"/>
  <c r="F35" i="1"/>
  <c r="G35" i="1"/>
  <c r="H35" i="1"/>
  <c r="I35" i="1"/>
  <c r="J35" i="1"/>
  <c r="F36" i="1"/>
  <c r="G36" i="1"/>
  <c r="H36" i="1"/>
  <c r="I36" i="1"/>
  <c r="J36" i="1"/>
  <c r="F37" i="1"/>
  <c r="G37" i="1"/>
  <c r="H37" i="1"/>
  <c r="I37" i="1"/>
  <c r="J37" i="1"/>
  <c r="F38" i="1"/>
  <c r="G38" i="1"/>
  <c r="H38" i="1"/>
  <c r="I38" i="1"/>
  <c r="J38" i="1"/>
  <c r="F39" i="1"/>
  <c r="G39" i="1"/>
  <c r="H39" i="1"/>
  <c r="I39" i="1"/>
  <c r="J39" i="1"/>
  <c r="K44" i="1"/>
  <c r="K45" i="1"/>
  <c r="J46" i="1"/>
  <c r="I51" i="1"/>
  <c r="J51" i="1" s="1"/>
  <c r="I52" i="1"/>
  <c r="J52" i="1"/>
  <c r="Q52" i="1"/>
  <c r="Q56" i="1" s="1"/>
  <c r="I53" i="1"/>
  <c r="J53" i="1"/>
  <c r="I54" i="1"/>
  <c r="J54" i="1"/>
  <c r="I55" i="1"/>
  <c r="J55" i="1" s="1"/>
  <c r="Q55" i="1"/>
  <c r="I56" i="1"/>
  <c r="J56" i="1"/>
  <c r="I57" i="1"/>
  <c r="J57" i="1" s="1"/>
  <c r="Q57" i="1"/>
  <c r="E60" i="1"/>
  <c r="J60" i="1"/>
  <c r="E61" i="1"/>
  <c r="J61" i="1"/>
  <c r="J81" i="1" s="1"/>
  <c r="K61" i="1"/>
  <c r="C68" i="1"/>
  <c r="C70" i="1"/>
  <c r="E74" i="1"/>
  <c r="H74" i="1"/>
  <c r="J74" i="1"/>
  <c r="B232" i="1" s="1"/>
  <c r="E75" i="1"/>
  <c r="H75" i="1"/>
  <c r="E76" i="1"/>
  <c r="F76" i="1"/>
  <c r="E91" i="1"/>
  <c r="H91" i="1"/>
  <c r="F131" i="1"/>
  <c r="J131" i="1"/>
  <c r="F138" i="1"/>
  <c r="I138" i="1"/>
  <c r="F139" i="1"/>
  <c r="H140" i="1"/>
  <c r="I140" i="1"/>
  <c r="F141" i="1"/>
  <c r="E146" i="1"/>
  <c r="H146" i="1" s="1"/>
  <c r="D147" i="1"/>
  <c r="E147" i="1"/>
  <c r="H147" i="1" s="1"/>
  <c r="G147" i="1"/>
  <c r="D148" i="1"/>
  <c r="G148" i="1" s="1"/>
  <c r="E148" i="1"/>
  <c r="H148" i="1"/>
  <c r="K148" i="1"/>
  <c r="L148" i="1"/>
  <c r="N148" i="1"/>
  <c r="O148" i="1"/>
  <c r="R148" i="1"/>
  <c r="S148" i="1"/>
  <c r="C149" i="1"/>
  <c r="E149" i="1"/>
  <c r="D150" i="1"/>
  <c r="G150" i="1" s="1"/>
  <c r="E150" i="1"/>
  <c r="H150" i="1"/>
  <c r="C151" i="1"/>
  <c r="E151" i="1"/>
  <c r="H151" i="1" s="1"/>
  <c r="D152" i="1"/>
  <c r="E152" i="1"/>
  <c r="H152" i="1" s="1"/>
  <c r="G152" i="1"/>
  <c r="K152" i="1" s="1"/>
  <c r="L152" i="1" s="1"/>
  <c r="O152" i="1" s="1"/>
  <c r="D153" i="1"/>
  <c r="E153" i="1"/>
  <c r="G153" i="1"/>
  <c r="M153" i="1" s="1"/>
  <c r="H153" i="1"/>
  <c r="K153" i="1"/>
  <c r="L153" i="1"/>
  <c r="O153" i="1" s="1"/>
  <c r="N153" i="1"/>
  <c r="R153" i="1"/>
  <c r="D154" i="1"/>
  <c r="E154" i="1"/>
  <c r="G154" i="1"/>
  <c r="H154" i="1"/>
  <c r="M154" i="1"/>
  <c r="N154" i="1"/>
  <c r="R154" i="1"/>
  <c r="C155" i="1"/>
  <c r="E155" i="1" s="1"/>
  <c r="D155" i="1"/>
  <c r="G155" i="1"/>
  <c r="S155" i="1" s="1"/>
  <c r="H155" i="1"/>
  <c r="K155" i="1"/>
  <c r="L155" i="1"/>
  <c r="O155" i="1" s="1"/>
  <c r="M155" i="1"/>
  <c r="N155" i="1"/>
  <c r="E156" i="1"/>
  <c r="D156" i="1" s="1"/>
  <c r="G156" i="1" s="1"/>
  <c r="H156" i="1"/>
  <c r="N156" i="1"/>
  <c r="R156" i="1"/>
  <c r="S156" i="1"/>
  <c r="D157" i="1"/>
  <c r="G157" i="1" s="1"/>
  <c r="E157" i="1"/>
  <c r="H157" i="1"/>
  <c r="D158" i="1"/>
  <c r="G158" i="1" s="1"/>
  <c r="E158" i="1"/>
  <c r="H158" i="1" s="1"/>
  <c r="S158" i="1"/>
  <c r="T158" i="1"/>
  <c r="U158" i="1"/>
  <c r="B159" i="1"/>
  <c r="E159" i="1"/>
  <c r="D159" i="1" s="1"/>
  <c r="G159" i="1" s="1"/>
  <c r="K159" i="1" s="1"/>
  <c r="L159" i="1" s="1"/>
  <c r="O159" i="1" s="1"/>
  <c r="H159" i="1"/>
  <c r="R159" i="1"/>
  <c r="S159" i="1"/>
  <c r="T159" i="1"/>
  <c r="U159" i="1" s="1"/>
  <c r="E160" i="1"/>
  <c r="C161" i="1"/>
  <c r="E161" i="1"/>
  <c r="D161" i="1" s="1"/>
  <c r="G161" i="1"/>
  <c r="H161" i="1"/>
  <c r="E162" i="1"/>
  <c r="D162" i="1" s="1"/>
  <c r="G162" i="1"/>
  <c r="K162" i="1" s="1"/>
  <c r="L162" i="1" s="1"/>
  <c r="O162" i="1" s="1"/>
  <c r="H162" i="1"/>
  <c r="D163" i="1"/>
  <c r="E163" i="1"/>
  <c r="H163" i="1" s="1"/>
  <c r="G163" i="1"/>
  <c r="K163" i="1"/>
  <c r="L163" i="1" s="1"/>
  <c r="O163" i="1" s="1"/>
  <c r="M163" i="1"/>
  <c r="N163" i="1"/>
  <c r="D164" i="1"/>
  <c r="E164" i="1"/>
  <c r="G164" i="1"/>
  <c r="M164" i="1" s="1"/>
  <c r="H164" i="1"/>
  <c r="K164" i="1"/>
  <c r="L164" i="1" s="1"/>
  <c r="O164" i="1" s="1"/>
  <c r="N164" i="1"/>
  <c r="R164" i="1"/>
  <c r="D165" i="1"/>
  <c r="E165" i="1"/>
  <c r="G165" i="1"/>
  <c r="H165" i="1"/>
  <c r="M165" i="1"/>
  <c r="N165" i="1"/>
  <c r="R165" i="1"/>
  <c r="E166" i="1"/>
  <c r="D166" i="1" s="1"/>
  <c r="G166" i="1" s="1"/>
  <c r="M166" i="1" s="1"/>
  <c r="H166" i="1"/>
  <c r="C167" i="1"/>
  <c r="E167" i="1"/>
  <c r="D167" i="1" s="1"/>
  <c r="G167" i="1" s="1"/>
  <c r="H167" i="1"/>
  <c r="K167" i="1"/>
  <c r="L167" i="1" s="1"/>
  <c r="O167" i="1" s="1"/>
  <c r="E168" i="1"/>
  <c r="D168" i="1" s="1"/>
  <c r="G168" i="1" s="1"/>
  <c r="H168" i="1"/>
  <c r="N168" i="1"/>
  <c r="S168" i="1"/>
  <c r="T168" i="1"/>
  <c r="U168" i="1" s="1"/>
  <c r="D169" i="1"/>
  <c r="G169" i="1" s="1"/>
  <c r="E169" i="1"/>
  <c r="H169" i="1"/>
  <c r="M169" i="1"/>
  <c r="R169" i="1"/>
  <c r="S169" i="1"/>
  <c r="T169" i="1"/>
  <c r="U169" i="1"/>
  <c r="E170" i="1"/>
  <c r="D170" i="1" s="1"/>
  <c r="G170" i="1" s="1"/>
  <c r="K170" i="1" s="1"/>
  <c r="L170" i="1" s="1"/>
  <c r="O170" i="1" s="1"/>
  <c r="S170" i="1"/>
  <c r="T170" i="1"/>
  <c r="U170" i="1" s="1"/>
  <c r="E171" i="1"/>
  <c r="D172" i="1"/>
  <c r="G172" i="1" s="1"/>
  <c r="E172" i="1"/>
  <c r="H172" i="1"/>
  <c r="C173" i="1"/>
  <c r="E173" i="1"/>
  <c r="H173" i="1" s="1"/>
  <c r="E174" i="1"/>
  <c r="H174" i="1" s="1"/>
  <c r="D175" i="1"/>
  <c r="E175" i="1"/>
  <c r="G175" i="1"/>
  <c r="H175" i="1"/>
  <c r="D176" i="1"/>
  <c r="E176" i="1"/>
  <c r="G176" i="1"/>
  <c r="H176" i="1"/>
  <c r="D177" i="1"/>
  <c r="G177" i="1" s="1"/>
  <c r="N177" i="1" s="1"/>
  <c r="E177" i="1"/>
  <c r="H177" i="1"/>
  <c r="K177" i="1"/>
  <c r="L177" i="1"/>
  <c r="O177" i="1" s="1"/>
  <c r="M177" i="1"/>
  <c r="E178" i="1"/>
  <c r="D178" i="1" s="1"/>
  <c r="G178" i="1"/>
  <c r="S178" i="1" s="1"/>
  <c r="H178" i="1"/>
  <c r="K178" i="1"/>
  <c r="L178" i="1"/>
  <c r="M178" i="1"/>
  <c r="O178" i="1"/>
  <c r="T178" i="1"/>
  <c r="U178" i="1" s="1"/>
  <c r="C179" i="1"/>
  <c r="E179" i="1"/>
  <c r="D179" i="1" s="1"/>
  <c r="G179" i="1" s="1"/>
  <c r="H179" i="1"/>
  <c r="E180" i="1"/>
  <c r="D180" i="1" s="1"/>
  <c r="G180" i="1" s="1"/>
  <c r="R180" i="1" s="1"/>
  <c r="H180" i="1"/>
  <c r="M180" i="1"/>
  <c r="E181" i="1"/>
  <c r="D181" i="1" s="1"/>
  <c r="G181" i="1"/>
  <c r="S181" i="1" s="1"/>
  <c r="H181" i="1"/>
  <c r="K181" i="1"/>
  <c r="L181" i="1" s="1"/>
  <c r="M181" i="1"/>
  <c r="N181" i="1"/>
  <c r="O181" i="1"/>
  <c r="R181" i="1"/>
  <c r="T181" i="1"/>
  <c r="U181" i="1" s="1"/>
  <c r="E182" i="1"/>
  <c r="H182" i="1" s="1"/>
  <c r="D183" i="1"/>
  <c r="E183" i="1"/>
  <c r="G183" i="1"/>
  <c r="S183" i="1" s="1"/>
  <c r="H183" i="1"/>
  <c r="K183" i="1"/>
  <c r="L183" i="1"/>
  <c r="O183" i="1" s="1"/>
  <c r="M183" i="1"/>
  <c r="N183" i="1"/>
  <c r="R183" i="1"/>
  <c r="T183" i="1"/>
  <c r="U183" i="1" s="1"/>
  <c r="E184" i="1"/>
  <c r="D184" i="1" s="1"/>
  <c r="G184" i="1" s="1"/>
  <c r="H184" i="1"/>
  <c r="N184" i="1"/>
  <c r="R184" i="1"/>
  <c r="C185" i="1"/>
  <c r="E185" i="1"/>
  <c r="H185" i="1" s="1"/>
  <c r="D186" i="1"/>
  <c r="E186" i="1"/>
  <c r="G186" i="1"/>
  <c r="S186" i="1" s="1"/>
  <c r="H186" i="1"/>
  <c r="K186" i="1"/>
  <c r="L186" i="1"/>
  <c r="O186" i="1" s="1"/>
  <c r="N186" i="1"/>
  <c r="E187" i="1"/>
  <c r="D187" i="1" s="1"/>
  <c r="G187" i="1" s="1"/>
  <c r="H187" i="1"/>
  <c r="E188" i="1"/>
  <c r="D188" i="1" s="1"/>
  <c r="G188" i="1" s="1"/>
  <c r="M188" i="1" s="1"/>
  <c r="H188" i="1"/>
  <c r="I192" i="1"/>
  <c r="I193" i="1"/>
  <c r="I194" i="1"/>
  <c r="F195" i="1"/>
  <c r="I195" i="1"/>
  <c r="F196" i="1"/>
  <c r="I196" i="1"/>
  <c r="H197" i="1"/>
  <c r="I197" i="1"/>
  <c r="F198" i="1"/>
  <c r="D203" i="1"/>
  <c r="E203" i="1"/>
  <c r="F203" i="1"/>
  <c r="G203" i="1"/>
  <c r="H203" i="1"/>
  <c r="J203" i="1"/>
  <c r="K203" i="1"/>
  <c r="I203" i="1" s="1"/>
  <c r="D204" i="1"/>
  <c r="G204" i="1" s="1"/>
  <c r="E204" i="1"/>
  <c r="H204" i="1"/>
  <c r="J204" i="1"/>
  <c r="E205" i="1"/>
  <c r="H205" i="1" s="1"/>
  <c r="J205" i="1"/>
  <c r="F205" i="1" s="1"/>
  <c r="C206" i="1"/>
  <c r="E206" i="1"/>
  <c r="H206" i="1"/>
  <c r="J206" i="1"/>
  <c r="E207" i="1"/>
  <c r="H207" i="1" s="1"/>
  <c r="J207" i="1"/>
  <c r="F207" i="1" s="1"/>
  <c r="K207" i="1"/>
  <c r="I207" i="1" s="1"/>
  <c r="C208" i="1"/>
  <c r="J208" i="1" s="1"/>
  <c r="E208" i="1"/>
  <c r="H208" i="1" s="1"/>
  <c r="F208" i="1"/>
  <c r="E209" i="1"/>
  <c r="F209" i="1"/>
  <c r="H209" i="1"/>
  <c r="J209" i="1"/>
  <c r="D209" i="1" s="1"/>
  <c r="G209" i="1" s="1"/>
  <c r="D210" i="1"/>
  <c r="G210" i="1" s="1"/>
  <c r="E210" i="1"/>
  <c r="F210" i="1"/>
  <c r="H210" i="1"/>
  <c r="J210" i="1"/>
  <c r="K210" i="1"/>
  <c r="I210" i="1" s="1"/>
  <c r="D211" i="1"/>
  <c r="G211" i="1" s="1"/>
  <c r="E211" i="1"/>
  <c r="H211" i="1" s="1"/>
  <c r="F211" i="1"/>
  <c r="J211" i="1"/>
  <c r="K211" i="1" s="1"/>
  <c r="I211" i="1" s="1"/>
  <c r="C212" i="1"/>
  <c r="D212" i="1"/>
  <c r="E212" i="1"/>
  <c r="F212" i="1"/>
  <c r="G212" i="1"/>
  <c r="H212" i="1"/>
  <c r="J212" i="1"/>
  <c r="K212" i="1"/>
  <c r="I212" i="1" s="1"/>
  <c r="E213" i="1"/>
  <c r="H213" i="1"/>
  <c r="J213" i="1"/>
  <c r="K213" i="1"/>
  <c r="I213" i="1" s="1"/>
  <c r="D214" i="1"/>
  <c r="G214" i="1" s="1"/>
  <c r="E214" i="1"/>
  <c r="H214" i="1" s="1"/>
  <c r="F214" i="1"/>
  <c r="J214" i="1"/>
  <c r="K214" i="1"/>
  <c r="I214" i="1" s="1"/>
  <c r="E215" i="1"/>
  <c r="H215" i="1"/>
  <c r="J215" i="1"/>
  <c r="K215" i="1" s="1"/>
  <c r="I215" i="1" s="1"/>
  <c r="E216" i="1"/>
  <c r="H216" i="1"/>
  <c r="J216" i="1"/>
  <c r="K216" i="1"/>
  <c r="I216" i="1" s="1"/>
  <c r="E217" i="1"/>
  <c r="H217" i="1" s="1"/>
  <c r="J217" i="1"/>
  <c r="F217" i="1" s="1"/>
  <c r="K217" i="1"/>
  <c r="I217" i="1" s="1"/>
  <c r="C218" i="1"/>
  <c r="J218" i="1" s="1"/>
  <c r="K218" i="1" s="1"/>
  <c r="I218" i="1" s="1"/>
  <c r="D218" i="1"/>
  <c r="G218" i="1" s="1"/>
  <c r="E218" i="1"/>
  <c r="H218" i="1" s="1"/>
  <c r="F218" i="1"/>
  <c r="E219" i="1"/>
  <c r="H219" i="1" s="1"/>
  <c r="F219" i="1"/>
  <c r="J219" i="1"/>
  <c r="E220" i="1"/>
  <c r="H220" i="1"/>
  <c r="J220" i="1"/>
  <c r="F220" i="1" s="1"/>
  <c r="D221" i="1"/>
  <c r="G221" i="1" s="1"/>
  <c r="E221" i="1"/>
  <c r="H221" i="1"/>
  <c r="J221" i="1"/>
  <c r="F221" i="1" s="1"/>
  <c r="K221" i="1"/>
  <c r="I221" i="1" s="1"/>
  <c r="D222" i="1"/>
  <c r="G222" i="1" s="1"/>
  <c r="E222" i="1"/>
  <c r="H222" i="1" s="1"/>
  <c r="F222" i="1"/>
  <c r="I222" i="1"/>
  <c r="J222" i="1"/>
  <c r="K222" i="1"/>
  <c r="E223" i="1"/>
  <c r="H223" i="1"/>
  <c r="J223" i="1"/>
  <c r="C224" i="1"/>
  <c r="J224" i="1" s="1"/>
  <c r="E224" i="1"/>
  <c r="H224" i="1" s="1"/>
  <c r="E225" i="1"/>
  <c r="H225" i="1" s="1"/>
  <c r="F225" i="1"/>
  <c r="G225" i="1"/>
  <c r="J225" i="1"/>
  <c r="D225" i="1" s="1"/>
  <c r="E226" i="1"/>
  <c r="F226" i="1"/>
  <c r="H226" i="1"/>
  <c r="I226" i="1"/>
  <c r="J226" i="1"/>
  <c r="D226" i="1" s="1"/>
  <c r="G226" i="1" s="1"/>
  <c r="K226" i="1"/>
  <c r="D227" i="1"/>
  <c r="G227" i="1" s="1"/>
  <c r="E227" i="1"/>
  <c r="F227" i="1"/>
  <c r="H227" i="1"/>
  <c r="J227" i="1"/>
  <c r="K227" i="1"/>
  <c r="I227" i="1" s="1"/>
  <c r="D228" i="1"/>
  <c r="G228" i="1" s="1"/>
  <c r="E228" i="1"/>
  <c r="H228" i="1" s="1"/>
  <c r="J228" i="1"/>
  <c r="F228" i="1" s="1"/>
  <c r="K228" i="1"/>
  <c r="I228" i="1" s="1"/>
  <c r="E229" i="1"/>
  <c r="F229" i="1"/>
  <c r="G229" i="1"/>
  <c r="H229" i="1"/>
  <c r="J229" i="1"/>
  <c r="D229" i="1" s="1"/>
  <c r="K229" i="1"/>
  <c r="I229" i="1" s="1"/>
  <c r="C230" i="1"/>
  <c r="E230" i="1"/>
  <c r="H230" i="1"/>
  <c r="J230" i="1"/>
  <c r="K230" i="1"/>
  <c r="I230" i="1" s="1"/>
  <c r="E231" i="1"/>
  <c r="H231" i="1" s="1"/>
  <c r="J231" i="1"/>
  <c r="F231" i="1" s="1"/>
  <c r="K231" i="1"/>
  <c r="I231" i="1" s="1"/>
  <c r="D232" i="1"/>
  <c r="G232" i="1" s="1"/>
  <c r="E232" i="1"/>
  <c r="H232" i="1" s="1"/>
  <c r="F232" i="1"/>
  <c r="I232" i="1"/>
  <c r="J232" i="1"/>
  <c r="K232" i="1" s="1"/>
  <c r="E233" i="1"/>
  <c r="H233" i="1"/>
  <c r="J233" i="1"/>
  <c r="D233" i="1" s="1"/>
  <c r="G233" i="1" s="1"/>
  <c r="K233" i="1"/>
  <c r="I233" i="1" s="1"/>
  <c r="E234" i="1"/>
  <c r="H234" i="1" s="1"/>
  <c r="J234" i="1"/>
  <c r="F234" i="1" s="1"/>
  <c r="D235" i="1"/>
  <c r="G235" i="1" s="1"/>
  <c r="E235" i="1"/>
  <c r="F235" i="1"/>
  <c r="H235" i="1"/>
  <c r="J235" i="1"/>
  <c r="K235" i="1" s="1"/>
  <c r="I235" i="1" s="1"/>
  <c r="C236" i="1"/>
  <c r="J236" i="1" s="1"/>
  <c r="K236" i="1" s="1"/>
  <c r="I236" i="1" s="1"/>
  <c r="D236" i="1"/>
  <c r="G236" i="1" s="1"/>
  <c r="E236" i="1"/>
  <c r="H236" i="1" s="1"/>
  <c r="E237" i="1"/>
  <c r="H237" i="1"/>
  <c r="J237" i="1"/>
  <c r="K237" i="1"/>
  <c r="I237" i="1" s="1"/>
  <c r="B238" i="1"/>
  <c r="D238" i="1"/>
  <c r="G238" i="1" s="1"/>
  <c r="E238" i="1"/>
  <c r="F238" i="1"/>
  <c r="H238" i="1"/>
  <c r="J238" i="1"/>
  <c r="K238" i="1"/>
  <c r="I238" i="1" s="1"/>
  <c r="E239" i="1"/>
  <c r="H239" i="1" s="1"/>
  <c r="J239" i="1"/>
  <c r="K239" i="1" s="1"/>
  <c r="I239" i="1" s="1"/>
  <c r="E240" i="1"/>
  <c r="F240" i="1"/>
  <c r="H240" i="1"/>
  <c r="J240" i="1"/>
  <c r="E241" i="1"/>
  <c r="H241" i="1" s="1"/>
  <c r="J241" i="1"/>
  <c r="K241" i="1"/>
  <c r="I241" i="1" s="1"/>
  <c r="C242" i="1"/>
  <c r="J242" i="1" s="1"/>
  <c r="E242" i="1"/>
  <c r="H242" i="1"/>
  <c r="E243" i="1"/>
  <c r="H243" i="1"/>
  <c r="J243" i="1"/>
  <c r="K243" i="1" s="1"/>
  <c r="I243" i="1" s="1"/>
  <c r="D244" i="1"/>
  <c r="E244" i="1"/>
  <c r="F244" i="1"/>
  <c r="G244" i="1"/>
  <c r="H244" i="1"/>
  <c r="J244" i="1"/>
  <c r="K244" i="1"/>
  <c r="I244" i="1" s="1"/>
  <c r="D245" i="1"/>
  <c r="G245" i="1" s="1"/>
  <c r="E245" i="1"/>
  <c r="H245" i="1" s="1"/>
  <c r="F245" i="1"/>
  <c r="J245" i="1"/>
  <c r="K245" i="1"/>
  <c r="I245" i="1" s="1"/>
  <c r="S172" i="1" l="1"/>
  <c r="M172" i="1"/>
  <c r="N172" i="1"/>
  <c r="R172" i="1"/>
  <c r="T172" i="1"/>
  <c r="U172" i="1" s="1"/>
  <c r="K172" i="1"/>
  <c r="L172" i="1" s="1"/>
  <c r="O172" i="1" s="1"/>
  <c r="K187" i="1"/>
  <c r="L187" i="1" s="1"/>
  <c r="O187" i="1" s="1"/>
  <c r="T187" i="1"/>
  <c r="U187" i="1" s="1"/>
  <c r="R187" i="1"/>
  <c r="M187" i="1"/>
  <c r="N187" i="1"/>
  <c r="S187" i="1"/>
  <c r="F224" i="1"/>
  <c r="D224" i="1"/>
  <c r="G224" i="1" s="1"/>
  <c r="K224" i="1"/>
  <c r="I224" i="1" s="1"/>
  <c r="R147" i="1"/>
  <c r="K147" i="1"/>
  <c r="L147" i="1" s="1"/>
  <c r="O147" i="1" s="1"/>
  <c r="T147" i="1"/>
  <c r="U147" i="1" s="1"/>
  <c r="T167" i="1"/>
  <c r="U167" i="1" s="1"/>
  <c r="M167" i="1"/>
  <c r="S167" i="1"/>
  <c r="F236" i="1"/>
  <c r="F216" i="1"/>
  <c r="D216" i="1"/>
  <c r="G216" i="1" s="1"/>
  <c r="T180" i="1"/>
  <c r="U180" i="1" s="1"/>
  <c r="M175" i="1"/>
  <c r="R175" i="1"/>
  <c r="S175" i="1"/>
  <c r="T175" i="1"/>
  <c r="U175" i="1" s="1"/>
  <c r="N175" i="1"/>
  <c r="N167" i="1"/>
  <c r="D234" i="1"/>
  <c r="G234" i="1" s="1"/>
  <c r="K220" i="1"/>
  <c r="I220" i="1" s="1"/>
  <c r="B211" i="1"/>
  <c r="R179" i="1"/>
  <c r="K179" i="1"/>
  <c r="L179" i="1" s="1"/>
  <c r="O179" i="1" s="1"/>
  <c r="S179" i="1"/>
  <c r="M147" i="1"/>
  <c r="N161" i="1"/>
  <c r="R161" i="1"/>
  <c r="M161" i="1"/>
  <c r="S161" i="1"/>
  <c r="T161" i="1"/>
  <c r="U161" i="1" s="1"/>
  <c r="K161" i="1"/>
  <c r="L161" i="1" s="1"/>
  <c r="O161" i="1" s="1"/>
  <c r="D151" i="1"/>
  <c r="G151" i="1" s="1"/>
  <c r="E124" i="1"/>
  <c r="D242" i="1"/>
  <c r="G242" i="1" s="1"/>
  <c r="K242" i="1"/>
  <c r="I242" i="1" s="1"/>
  <c r="R157" i="1"/>
  <c r="K157" i="1"/>
  <c r="L157" i="1" s="1"/>
  <c r="O157" i="1" s="1"/>
  <c r="M157" i="1"/>
  <c r="N157" i="1"/>
  <c r="R188" i="1"/>
  <c r="K188" i="1"/>
  <c r="L188" i="1" s="1"/>
  <c r="O188" i="1" s="1"/>
  <c r="S188" i="1"/>
  <c r="D239" i="1"/>
  <c r="G239" i="1" s="1"/>
  <c r="M186" i="1"/>
  <c r="T186" i="1"/>
  <c r="U186" i="1" s="1"/>
  <c r="R186" i="1"/>
  <c r="E118" i="1"/>
  <c r="B151" i="1"/>
  <c r="B156" i="1"/>
  <c r="B173" i="1"/>
  <c r="B184" i="1"/>
  <c r="B203" i="1"/>
  <c r="B216" i="1"/>
  <c r="B233" i="1"/>
  <c r="J95" i="1"/>
  <c r="J94" i="1" s="1"/>
  <c r="E119" i="1"/>
  <c r="B146" i="1"/>
  <c r="J75" i="1"/>
  <c r="E112" i="1"/>
  <c r="E123" i="1"/>
  <c r="B148" i="1"/>
  <c r="B153" i="1"/>
  <c r="J91" i="1"/>
  <c r="E114" i="1"/>
  <c r="E125" i="1"/>
  <c r="B149" i="1"/>
  <c r="B154" i="1"/>
  <c r="B165" i="1"/>
  <c r="B176" i="1"/>
  <c r="B187" i="1"/>
  <c r="E115" i="1"/>
  <c r="J92" i="1"/>
  <c r="J93" i="1" s="1"/>
  <c r="B155" i="1"/>
  <c r="B166" i="1"/>
  <c r="B177" i="1"/>
  <c r="E111" i="1"/>
  <c r="B167" i="1"/>
  <c r="B168" i="1"/>
  <c r="B179" i="1"/>
  <c r="B182" i="1"/>
  <c r="B183" i="1"/>
  <c r="B185" i="1"/>
  <c r="B213" i="1"/>
  <c r="B223" i="1"/>
  <c r="B230" i="1"/>
  <c r="E113" i="1"/>
  <c r="B180" i="1"/>
  <c r="B181" i="1"/>
  <c r="B186" i="1"/>
  <c r="B188" i="1"/>
  <c r="B206" i="1"/>
  <c r="B209" i="1"/>
  <c r="B240" i="1"/>
  <c r="B219" i="1"/>
  <c r="B226" i="1"/>
  <c r="B236" i="1"/>
  <c r="E116" i="1"/>
  <c r="B164" i="1"/>
  <c r="B178" i="1"/>
  <c r="B212" i="1"/>
  <c r="B243" i="1"/>
  <c r="E117" i="1"/>
  <c r="I139" i="1"/>
  <c r="B147" i="1"/>
  <c r="B163" i="1"/>
  <c r="E120" i="1"/>
  <c r="B152" i="1"/>
  <c r="B162" i="1"/>
  <c r="B175" i="1"/>
  <c r="E121" i="1"/>
  <c r="B161" i="1"/>
  <c r="B174" i="1"/>
  <c r="B208" i="1"/>
  <c r="E109" i="1"/>
  <c r="B158" i="1"/>
  <c r="B170" i="1"/>
  <c r="B204" i="1"/>
  <c r="B220" i="1"/>
  <c r="B227" i="1"/>
  <c r="B234" i="1"/>
  <c r="E110" i="1"/>
  <c r="B157" i="1"/>
  <c r="B169" i="1"/>
  <c r="B244" i="1"/>
  <c r="B228" i="1"/>
  <c r="E122" i="1"/>
  <c r="D220" i="1"/>
  <c r="G220" i="1" s="1"/>
  <c r="B245" i="1"/>
  <c r="B239" i="1"/>
  <c r="F233" i="1"/>
  <c r="B231" i="1"/>
  <c r="K219" i="1"/>
  <c r="I219" i="1" s="1"/>
  <c r="D219" i="1"/>
  <c r="G219" i="1" s="1"/>
  <c r="F213" i="1"/>
  <c r="D213" i="1"/>
  <c r="G213" i="1" s="1"/>
  <c r="D208" i="1"/>
  <c r="G208" i="1" s="1"/>
  <c r="K208" i="1"/>
  <c r="I208" i="1" s="1"/>
  <c r="T179" i="1"/>
  <c r="U179" i="1" s="1"/>
  <c r="K176" i="1"/>
  <c r="L176" i="1" s="1"/>
  <c r="O176" i="1" s="1"/>
  <c r="T176" i="1"/>
  <c r="U176" i="1" s="1"/>
  <c r="R176" i="1"/>
  <c r="S176" i="1"/>
  <c r="M176" i="1"/>
  <c r="N176" i="1"/>
  <c r="N166" i="1"/>
  <c r="T163" i="1"/>
  <c r="U163" i="1" s="1"/>
  <c r="R163" i="1"/>
  <c r="S163" i="1"/>
  <c r="H160" i="1"/>
  <c r="D160" i="1"/>
  <c r="G160" i="1" s="1"/>
  <c r="F239" i="1"/>
  <c r="K223" i="1"/>
  <c r="I223" i="1" s="1"/>
  <c r="F223" i="1"/>
  <c r="D223" i="1"/>
  <c r="G223" i="1" s="1"/>
  <c r="D205" i="1"/>
  <c r="G205" i="1" s="1"/>
  <c r="K205" i="1"/>
  <c r="I205" i="1" s="1"/>
  <c r="D174" i="1"/>
  <c r="G174" i="1" s="1"/>
  <c r="B237" i="1"/>
  <c r="F215" i="1"/>
  <c r="B210" i="1"/>
  <c r="B160" i="1"/>
  <c r="T156" i="1"/>
  <c r="U156" i="1" s="1"/>
  <c r="M156" i="1"/>
  <c r="K156" i="1"/>
  <c r="L156" i="1" s="1"/>
  <c r="O156" i="1" s="1"/>
  <c r="M150" i="1"/>
  <c r="S150" i="1"/>
  <c r="K150" i="1"/>
  <c r="L150" i="1" s="1"/>
  <c r="O150" i="1" s="1"/>
  <c r="N150" i="1"/>
  <c r="R150" i="1"/>
  <c r="T150" i="1"/>
  <c r="U150" i="1" s="1"/>
  <c r="D237" i="1"/>
  <c r="G237" i="1" s="1"/>
  <c r="F237" i="1"/>
  <c r="B224" i="1"/>
  <c r="F241" i="1"/>
  <c r="D241" i="1"/>
  <c r="G241" i="1" s="1"/>
  <c r="N180" i="1"/>
  <c r="K180" i="1"/>
  <c r="L180" i="1" s="1"/>
  <c r="O180" i="1" s="1"/>
  <c r="S180" i="1"/>
  <c r="D146" i="1"/>
  <c r="G146" i="1" s="1"/>
  <c r="K240" i="1"/>
  <c r="I240" i="1" s="1"/>
  <c r="D240" i="1"/>
  <c r="G240" i="1" s="1"/>
  <c r="B235" i="1"/>
  <c r="F230" i="1"/>
  <c r="D230" i="1"/>
  <c r="G230" i="1" s="1"/>
  <c r="K209" i="1"/>
  <c r="I209" i="1" s="1"/>
  <c r="B205" i="1"/>
  <c r="T188" i="1"/>
  <c r="U188" i="1" s="1"/>
  <c r="N179" i="1"/>
  <c r="D173" i="1"/>
  <c r="G173" i="1" s="1"/>
  <c r="T157" i="1"/>
  <c r="U157" i="1" s="1"/>
  <c r="M152" i="1"/>
  <c r="B150" i="1"/>
  <c r="B172" i="1"/>
  <c r="B222" i="1"/>
  <c r="B214" i="1"/>
  <c r="B171" i="1"/>
  <c r="B218" i="1"/>
  <c r="B241" i="1"/>
  <c r="F243" i="1"/>
  <c r="D243" i="1"/>
  <c r="G243" i="1" s="1"/>
  <c r="K234" i="1"/>
  <c r="I234" i="1" s="1"/>
  <c r="B229" i="1"/>
  <c r="B217" i="1"/>
  <c r="D215" i="1"/>
  <c r="G215" i="1" s="1"/>
  <c r="F204" i="1"/>
  <c r="K204" i="1"/>
  <c r="I204" i="1" s="1"/>
  <c r="T184" i="1"/>
  <c r="U184" i="1" s="1"/>
  <c r="M184" i="1"/>
  <c r="K184" i="1"/>
  <c r="L184" i="1" s="1"/>
  <c r="O184" i="1" s="1"/>
  <c r="S184" i="1"/>
  <c r="M179" i="1"/>
  <c r="K175" i="1"/>
  <c r="L175" i="1" s="1"/>
  <c r="O175" i="1" s="1"/>
  <c r="R168" i="1"/>
  <c r="K168" i="1"/>
  <c r="L168" i="1" s="1"/>
  <c r="O168" i="1" s="1"/>
  <c r="M168" i="1"/>
  <c r="S157" i="1"/>
  <c r="B242" i="1"/>
  <c r="B215" i="1"/>
  <c r="R166" i="1"/>
  <c r="T166" i="1"/>
  <c r="U166" i="1" s="1"/>
  <c r="K166" i="1"/>
  <c r="L166" i="1" s="1"/>
  <c r="O166" i="1" s="1"/>
  <c r="S166" i="1"/>
  <c r="S152" i="1"/>
  <c r="T152" i="1"/>
  <c r="U152" i="1" s="1"/>
  <c r="N152" i="1"/>
  <c r="R152" i="1"/>
  <c r="S147" i="1"/>
  <c r="K131" i="1"/>
  <c r="K132" i="1"/>
  <c r="H171" i="1"/>
  <c r="D171" i="1"/>
  <c r="G171" i="1" s="1"/>
  <c r="B225" i="1"/>
  <c r="B207" i="1"/>
  <c r="N188" i="1"/>
  <c r="R167" i="1"/>
  <c r="F242" i="1"/>
  <c r="B221" i="1"/>
  <c r="K206" i="1"/>
  <c r="I206" i="1" s="1"/>
  <c r="F206" i="1"/>
  <c r="D206" i="1"/>
  <c r="G206" i="1" s="1"/>
  <c r="S162" i="1"/>
  <c r="N162" i="1"/>
  <c r="R162" i="1"/>
  <c r="T162" i="1"/>
  <c r="U162" i="1" s="1"/>
  <c r="M162" i="1"/>
  <c r="N147" i="1"/>
  <c r="N158" i="1"/>
  <c r="K158" i="1"/>
  <c r="L158" i="1" s="1"/>
  <c r="O158" i="1" s="1"/>
  <c r="T155" i="1"/>
  <c r="U155" i="1" s="1"/>
  <c r="H149" i="1"/>
  <c r="D149" i="1"/>
  <c r="G149" i="1" s="1"/>
  <c r="D231" i="1"/>
  <c r="G231" i="1" s="1"/>
  <c r="D217" i="1"/>
  <c r="G217" i="1" s="1"/>
  <c r="D207" i="1"/>
  <c r="G207" i="1" s="1"/>
  <c r="R155" i="1"/>
  <c r="R170" i="1"/>
  <c r="K165" i="1"/>
  <c r="L165" i="1" s="1"/>
  <c r="O165" i="1" s="1"/>
  <c r="T165" i="1"/>
  <c r="U165" i="1" s="1"/>
  <c r="R158" i="1"/>
  <c r="K154" i="1"/>
  <c r="L154" i="1" s="1"/>
  <c r="O154" i="1" s="1"/>
  <c r="T154" i="1"/>
  <c r="U154" i="1" s="1"/>
  <c r="R177" i="1"/>
  <c r="T177" i="1"/>
  <c r="U177" i="1" s="1"/>
  <c r="N170" i="1"/>
  <c r="M158" i="1"/>
  <c r="D185" i="1"/>
  <c r="G185" i="1" s="1"/>
  <c r="M170" i="1"/>
  <c r="N159" i="1"/>
  <c r="K225" i="1"/>
  <c r="I225" i="1" s="1"/>
  <c r="D182" i="1"/>
  <c r="G182" i="1" s="1"/>
  <c r="T164" i="1"/>
  <c r="U164" i="1" s="1"/>
  <c r="M159" i="1"/>
  <c r="T153" i="1"/>
  <c r="U153" i="1" s="1"/>
  <c r="N178" i="1"/>
  <c r="R178" i="1"/>
  <c r="S177" i="1"/>
  <c r="H170" i="1"/>
  <c r="N169" i="1"/>
  <c r="K169" i="1"/>
  <c r="L169" i="1" s="1"/>
  <c r="O169" i="1" s="1"/>
  <c r="S165" i="1"/>
  <c r="S164" i="1"/>
  <c r="S154" i="1"/>
  <c r="S153" i="1"/>
  <c r="M148" i="1"/>
  <c r="T148" i="1"/>
  <c r="U148" i="1" s="1"/>
  <c r="K62" i="1"/>
  <c r="S173" i="1" l="1"/>
  <c r="N173" i="1"/>
  <c r="M173" i="1"/>
  <c r="R173" i="1"/>
  <c r="T173" i="1"/>
  <c r="U173" i="1" s="1"/>
  <c r="K173" i="1"/>
  <c r="L173" i="1" s="1"/>
  <c r="O173" i="1" s="1"/>
  <c r="S149" i="1"/>
  <c r="K149" i="1"/>
  <c r="L149" i="1" s="1"/>
  <c r="O149" i="1" s="1"/>
  <c r="M149" i="1"/>
  <c r="N149" i="1"/>
  <c r="R149" i="1"/>
  <c r="T149" i="1"/>
  <c r="U149" i="1" s="1"/>
  <c r="S146" i="1"/>
  <c r="T146" i="1"/>
  <c r="U146" i="1" s="1"/>
  <c r="M146" i="1"/>
  <c r="N146" i="1"/>
  <c r="R146" i="1"/>
  <c r="K146" i="1"/>
  <c r="L146" i="1" s="1"/>
  <c r="O146" i="1" s="1"/>
  <c r="S182" i="1"/>
  <c r="K182" i="1"/>
  <c r="L182" i="1" s="1"/>
  <c r="O182" i="1" s="1"/>
  <c r="T182" i="1"/>
  <c r="U182" i="1" s="1"/>
  <c r="R182" i="1"/>
  <c r="M182" i="1"/>
  <c r="N182" i="1"/>
  <c r="S160" i="1"/>
  <c r="M160" i="1"/>
  <c r="N160" i="1"/>
  <c r="R160" i="1"/>
  <c r="T160" i="1"/>
  <c r="U160" i="1" s="1"/>
  <c r="K160" i="1"/>
  <c r="L160" i="1" s="1"/>
  <c r="O160" i="1" s="1"/>
  <c r="J68" i="1"/>
  <c r="J76" i="1"/>
  <c r="J70" i="1"/>
  <c r="S151" i="1"/>
  <c r="N151" i="1"/>
  <c r="R151" i="1"/>
  <c r="T151" i="1"/>
  <c r="U151" i="1" s="1"/>
  <c r="K151" i="1"/>
  <c r="L151" i="1" s="1"/>
  <c r="O151" i="1" s="1"/>
  <c r="M151" i="1"/>
  <c r="S171" i="1"/>
  <c r="M171" i="1"/>
  <c r="R171" i="1"/>
  <c r="N171" i="1"/>
  <c r="T171" i="1"/>
  <c r="U171" i="1" s="1"/>
  <c r="K171" i="1"/>
  <c r="L171" i="1" s="1"/>
  <c r="O171" i="1" s="1"/>
  <c r="F132" i="1"/>
  <c r="I142" i="1"/>
  <c r="J132" i="1"/>
  <c r="I92" i="1"/>
  <c r="J128" i="1"/>
  <c r="K115" i="1"/>
  <c r="I199" i="1"/>
  <c r="I93" i="1"/>
  <c r="K185" i="1"/>
  <c r="L185" i="1" s="1"/>
  <c r="O185" i="1" s="1"/>
  <c r="S185" i="1"/>
  <c r="M185" i="1"/>
  <c r="N185" i="1"/>
  <c r="R185" i="1"/>
  <c r="T185" i="1"/>
  <c r="U185" i="1" s="1"/>
  <c r="R174" i="1"/>
  <c r="S174" i="1"/>
  <c r="T174" i="1"/>
  <c r="U174" i="1" s="1"/>
  <c r="M174" i="1"/>
  <c r="N174" i="1"/>
  <c r="K174" i="1"/>
  <c r="L174" i="1" s="1"/>
  <c r="O174" i="1" s="1"/>
  <c r="J82" i="1" l="1"/>
  <c r="J83" i="1" s="1"/>
  <c r="F140" i="1"/>
  <c r="K75" i="1"/>
  <c r="K76" i="1"/>
  <c r="K77" i="1"/>
  <c r="F197" i="1"/>
  <c r="J84" i="1" l="1"/>
  <c r="K84" i="1"/>
  <c r="I198" i="1" l="1"/>
  <c r="I141" i="1"/>
</calcChain>
</file>

<file path=xl/sharedStrings.xml><?xml version="1.0" encoding="utf-8"?>
<sst xmlns="http://schemas.openxmlformats.org/spreadsheetml/2006/main" count="536" uniqueCount="234">
  <si>
    <t xml:space="preserve">   Not Just Another Depth of Field Calculator!</t>
  </si>
  <si>
    <t>Michael K. Davis</t>
  </si>
  <si>
    <t>Step 1)</t>
  </si>
  <si>
    <t xml:space="preserve">      SPECIFICATION OF FOCAL LENGTH </t>
  </si>
  <si>
    <t xml:space="preserve"> This Step is Required for all DoF Calculations</t>
  </si>
  <si>
    <t>(See Note 1)</t>
  </si>
  <si>
    <t>Step 2)</t>
  </si>
  <si>
    <t xml:space="preserve">      SPECIFICATION OF IMAGE DIAGONAL  </t>
  </si>
  <si>
    <t xml:space="preserve">Specify the Post-crop, On-film Image Diagonal - the Portion to be Enlarged   (mm): </t>
  </si>
  <si>
    <t>(See Note 2)</t>
  </si>
  <si>
    <t>Image Diagonal Calculator</t>
  </si>
  <si>
    <t>Max. Crop</t>
  </si>
  <si>
    <t>For Full Format and Crops to Various Aspect Ratios</t>
  </si>
  <si>
    <t>to Other</t>
  </si>
  <si>
    <t>(Optional - for use with Step 2)</t>
  </si>
  <si>
    <t>Aspect Ratio</t>
  </si>
  <si>
    <t>Full</t>
  </si>
  <si>
    <t>Diagonal</t>
  </si>
  <si>
    <t>Short Axis:</t>
  </si>
  <si>
    <t>Format</t>
  </si>
  <si>
    <t>Image</t>
  </si>
  <si>
    <t>@ Max. Crop</t>
  </si>
  <si>
    <t>Name</t>
  </si>
  <si>
    <t>Width</t>
  </si>
  <si>
    <t>Length</t>
  </si>
  <si>
    <t>to 4:5 ratio</t>
  </si>
  <si>
    <t>to 5:7 ratio</t>
  </si>
  <si>
    <t>to 11:14 ratio</t>
  </si>
  <si>
    <t>Long Axis:</t>
  </si>
  <si>
    <t>(mm)</t>
  </si>
  <si>
    <t>Minox</t>
  </si>
  <si>
    <t>APS</t>
  </si>
  <si>
    <t>35mm</t>
  </si>
  <si>
    <t>4.5x6cm</t>
  </si>
  <si>
    <t>6x6cm</t>
  </si>
  <si>
    <t>6x7cm</t>
  </si>
  <si>
    <t>6x9cm</t>
  </si>
  <si>
    <t>4x5in</t>
  </si>
  <si>
    <t>5x7in</t>
  </si>
  <si>
    <t>8x10in</t>
  </si>
  <si>
    <t>10x12in</t>
  </si>
  <si>
    <t>11x14in</t>
  </si>
  <si>
    <t>Other</t>
  </si>
  <si>
    <t>Step 3)</t>
  </si>
  <si>
    <t xml:space="preserve">      SPECIFICATION OF ESTIMATED RESOLVING POWERS</t>
  </si>
  <si>
    <t>This Step is Only Required for Tuning Max CoC Diameter to System or Eye Resolutions (or Both)</t>
  </si>
  <si>
    <t>(See Note 3)</t>
  </si>
  <si>
    <t>Step 4)</t>
  </si>
  <si>
    <t xml:space="preserve">      SPECIFICATION OF PRINT DIMENSIONS</t>
  </si>
  <si>
    <t>Recommended Maximum Dimensions (Use Dimensions for a Provided Ratio or Use Custom Ratio):</t>
  </si>
  <si>
    <t xml:space="preserve">   1:1 Aspect Ratio Dimensions for Print with Desired (Eye) Rez (in):  </t>
  </si>
  <si>
    <t xml:space="preserve">   </t>
  </si>
  <si>
    <t xml:space="preserve">   2:3 Aspect Ratio Dimensions for Print with Desired (Eye) Rez (in):  </t>
  </si>
  <si>
    <t xml:space="preserve">   4:5 Aspect Ratio Dimensions for Print with Desired (Eye) Rez (in):  </t>
  </si>
  <si>
    <t xml:space="preserve">   5:7 Aspect Ratio Dimensions for Print with Desired (Eye) Rez (in):  </t>
  </si>
  <si>
    <t xml:space="preserve">6:17 Aspect Ratio Dimensions for Print with Desired (Eye) Rez (in):  </t>
  </si>
  <si>
    <t xml:space="preserve">11:14 Aspect Ratio Dimensions for Print with Desired (Eye) Rez (in):  </t>
  </si>
  <si>
    <t xml:space="preserve">Custom Aspect Ratio Dimensions for...    (in):  </t>
  </si>
  <si>
    <t>Recommended Values Need Only be Used When Tuning CoC to Both Sysem &amp; Eye Rez (Example 3)</t>
  </si>
  <si>
    <t xml:space="preserve">Specify the Actual Dimensions of  the Print to be made (inches):  </t>
  </si>
  <si>
    <t xml:space="preserve">For Film Diagonal = </t>
  </si>
  <si>
    <t>mm</t>
  </si>
  <si>
    <t xml:space="preserve">Magnification Ratio will be ( 1:n ):  </t>
  </si>
  <si>
    <t xml:space="preserve">For System Rez  = </t>
  </si>
  <si>
    <t>(See Note 4)</t>
  </si>
  <si>
    <t>Step 5)</t>
  </si>
  <si>
    <t xml:space="preserve">      SPECIFICATION OF THE MAXIMUM PERMISSIBLE CIRCLE OF CONFUSION DIAMETER</t>
  </si>
  <si>
    <t xml:space="preserve">  This Step is Required for DoF Calc, Using Tips Required ONLY for Tuning Max CoC to Resolutions</t>
  </si>
  <si>
    <t>Recommended Maximum Permissible CoC Diameter (for current Mag. Ratio and System Rez) :</t>
  </si>
  <si>
    <t>TIP 1:  To avoid Max. CoC Diameters smaller than can be resolved by the eye (or desired at Print),</t>
  </si>
  <si>
    <t xml:space="preserve">TIP 2:  To avoid Max. CoC Diameters smaller than the system can resolve at the Print, </t>
  </si>
  <si>
    <t>Note:  Consider the LESSER value of TIP 1 and TIP 2 to be the largest useful CoC denominator.</t>
  </si>
  <si>
    <t>The Following Value Can Be Specified Without Use of Steps 3 and 4 or the Tips Above (Example 4)</t>
  </si>
  <si>
    <r>
      <t>Specify Denominator of Max. Permissible CoC Diameter (1/</t>
    </r>
    <r>
      <rPr>
        <b/>
        <sz val="10"/>
        <color indexed="13"/>
        <rFont val="Arial"/>
        <family val="2"/>
      </rPr>
      <t>nnn</t>
    </r>
    <r>
      <rPr>
        <b/>
        <sz val="10"/>
        <color indexed="9"/>
        <rFont val="Arial"/>
        <family val="2"/>
      </rPr>
      <t xml:space="preserve"> inch) in a 10-in. print:  </t>
    </r>
  </si>
  <si>
    <t xml:space="preserve">mm and </t>
  </si>
  <si>
    <t>Max CoC = 1/</t>
  </si>
  <si>
    <t>For Dimensions =</t>
  </si>
  <si>
    <t>(See Note 5)</t>
  </si>
  <si>
    <t>Step 6)</t>
  </si>
  <si>
    <t xml:space="preserve">      CALCULATION OF THE RECOMMENDED MINIMUM VIEWING DISTANCE</t>
  </si>
  <si>
    <r>
      <t xml:space="preserve">       This Recommendation Requires the Use of </t>
    </r>
    <r>
      <rPr>
        <b/>
        <i/>
        <sz val="10"/>
        <rFont val="Arial"/>
        <family val="2"/>
      </rPr>
      <t>ALL</t>
    </r>
    <r>
      <rPr>
        <b/>
        <sz val="10"/>
        <rFont val="Arial"/>
        <family val="2"/>
      </rPr>
      <t xml:space="preserve"> the Above Steps, Including Steps 3 and 4</t>
    </r>
  </si>
  <si>
    <t xml:space="preserve"> Recommended Minimum Viewing Distance = Larger of the the two values above (cm): </t>
  </si>
  <si>
    <t>(See Note 6)</t>
  </si>
  <si>
    <t xml:space="preserve">  Converted to inches: </t>
  </si>
  <si>
    <r>
      <t xml:space="preserve">                        This Recommendation Does </t>
    </r>
    <r>
      <rPr>
        <b/>
        <i/>
        <sz val="10"/>
        <rFont val="Arial"/>
        <family val="2"/>
      </rPr>
      <t>NOT</t>
    </r>
    <r>
      <rPr>
        <b/>
        <sz val="10"/>
        <rFont val="Arial"/>
        <family val="2"/>
      </rPr>
      <t xml:space="preserve"> Require the Use of Steps 3 and 4</t>
    </r>
  </si>
  <si>
    <t xml:space="preserve">For diagonal of: </t>
  </si>
  <si>
    <t>CoC of 1/</t>
  </si>
  <si>
    <t>(See Note 7)</t>
  </si>
  <si>
    <t>Step 8)</t>
  </si>
  <si>
    <t xml:space="preserve">     EXAMINATION / PRINTING OF THE RESULTING DEPTH OF FIELD TABLES</t>
  </si>
  <si>
    <t xml:space="preserve">                   DEPTH OF FIELD WHEN FOCUSED AT HYPERFOCAL DISTANCE</t>
  </si>
  <si>
    <t xml:space="preserve"> </t>
  </si>
  <si>
    <t xml:space="preserve">    Focal Length (mm): </t>
  </si>
  <si>
    <t xml:space="preserve">       Image Diagonal (mm):</t>
  </si>
  <si>
    <t>OR</t>
  </si>
  <si>
    <t>Max CoC in 10in Print (inch): 1/</t>
  </si>
  <si>
    <t xml:space="preserve">Max CoC @ Film (mm): </t>
  </si>
  <si>
    <t>Specify Distance to the Nearest Subject (feet):</t>
  </si>
  <si>
    <t>Print (in):</t>
  </si>
  <si>
    <t>Back up</t>
  </si>
  <si>
    <t>New</t>
  </si>
  <si>
    <t>Resulting</t>
  </si>
  <si>
    <t>Percentage</t>
  </si>
  <si>
    <t>Switch to this</t>
  </si>
  <si>
    <t xml:space="preserve">Min. Viewing Distance(in): </t>
  </si>
  <si>
    <t>this much</t>
  </si>
  <si>
    <t>Distance</t>
  </si>
  <si>
    <t>Pre-Crop</t>
  </si>
  <si>
    <t>Post-Crop</t>
  </si>
  <si>
    <t xml:space="preserve">of  </t>
  </si>
  <si>
    <t>Focal Length (mm)</t>
  </si>
  <si>
    <t>of</t>
  </si>
  <si>
    <t>(feet) to place</t>
  </si>
  <si>
    <t>to</t>
  </si>
  <si>
    <t>Increase</t>
  </si>
  <si>
    <t>Original</t>
  </si>
  <si>
    <t>to place Subject</t>
  </si>
  <si>
    <t xml:space="preserve">Increase </t>
  </si>
  <si>
    <t>Near</t>
  </si>
  <si>
    <t>Hyperfocal</t>
  </si>
  <si>
    <t>Far</t>
  </si>
  <si>
    <t>Subject at the Near</t>
  </si>
  <si>
    <t>the</t>
  </si>
  <si>
    <t>in</t>
  </si>
  <si>
    <t>in DoF</t>
  </si>
  <si>
    <t>at the Near Sharp</t>
  </si>
  <si>
    <t>Num</t>
  </si>
  <si>
    <t>Sharp</t>
  </si>
  <si>
    <t>Sharp (Column F) for</t>
  </si>
  <si>
    <t>Nearest</t>
  </si>
  <si>
    <t>DoF</t>
  </si>
  <si>
    <t>and Grain</t>
  </si>
  <si>
    <t xml:space="preserve">(Column F) for </t>
  </si>
  <si>
    <t>(meters)</t>
  </si>
  <si>
    <t>(feet)</t>
  </si>
  <si>
    <t>a chosen Aperture</t>
  </si>
  <si>
    <t>Subject</t>
  </si>
  <si>
    <t>(factor)</t>
  </si>
  <si>
    <t>Used</t>
  </si>
  <si>
    <t>Infinity</t>
  </si>
  <si>
    <t>&gt;</t>
  </si>
  <si>
    <t>To Focus at a Specific Object Distance, Specify Distance in meters:</t>
  </si>
  <si>
    <t>Use this converter if needed:</t>
  </si>
  <si>
    <t xml:space="preserve">     Feet to Meters:</t>
  </si>
  <si>
    <t xml:space="preserve"> DEPTH OF FIELD WHEN FOCUSED AT OBJECT DISTANCE (meters): </t>
  </si>
  <si>
    <t>Image Diagonal (mm):</t>
  </si>
  <si>
    <t>Focused</t>
  </si>
  <si>
    <t>An Introduction, Notes, and Examples can be found on the accompanying worksheets.</t>
  </si>
  <si>
    <t>(See the tabs, below…)</t>
  </si>
  <si>
    <t xml:space="preserve">               INCREASE DISTANCE TO INCREASE DoF (CROP LATER)</t>
  </si>
  <si>
    <t xml:space="preserve">               DECREASE FOCAL LENGTH TO INCREASE DoF (CROP LATER)</t>
  </si>
  <si>
    <t xml:space="preserve">   This is not intended for printing.  See Note 8 for a more practical approach.</t>
  </si>
  <si>
    <t xml:space="preserve">lp/mm </t>
  </si>
  <si>
    <t xml:space="preserve">System Resolution at Print will be (lp/mm):  </t>
  </si>
  <si>
    <t>lp/mm, specify a denominator for Max. CoC diameter that does NOT exceed:</t>
  </si>
  <si>
    <t xml:space="preserve">CoC Diameter at the Print will be (lp/mm):  </t>
  </si>
  <si>
    <t xml:space="preserve">Max CoC @ Film (lp/mm): </t>
  </si>
  <si>
    <t xml:space="preserve">System Rez @ Print (lp/mm): </t>
  </si>
  <si>
    <t>CoC@Film (lp/mm)</t>
  </si>
  <si>
    <t>CoC@Film (mm)</t>
  </si>
  <si>
    <t xml:space="preserve">Specify the Focal Length of Your Stereo Viewer (mm):  </t>
  </si>
  <si>
    <t xml:space="preserve">Closest Distance at Which Intended User(s) Can Focus (in):  </t>
  </si>
  <si>
    <t>10 in. for Most People</t>
  </si>
  <si>
    <t xml:space="preserve">Magnification of Viewer:  </t>
  </si>
  <si>
    <t xml:space="preserve">Diagonal of Mounted Film (mm):  </t>
  </si>
  <si>
    <t xml:space="preserve">Shortest Dimension of a Mounted Film Chip (mm):  </t>
  </si>
  <si>
    <t xml:space="preserve">                     OPTIONAL APPARENT IMAGE SIZE CALCULATOR FOR STEREO VIEWERS</t>
  </si>
  <si>
    <t xml:space="preserve">Longest Dimension of a Mounted Film Chip (same if sq.) (mm):  </t>
  </si>
  <si>
    <t>Enter this in Step 2 !</t>
  </si>
  <si>
    <t>Enter this in Step 4 !</t>
  </si>
  <si>
    <t>Measure it !</t>
  </si>
  <si>
    <t xml:space="preserve">Actual Dimensions of the Print to be made (1st of 2 values) (in):  </t>
  </si>
  <si>
    <t xml:space="preserve">Actual Dimensions of the Print to be made (2nd of 2 values) (in):  </t>
  </si>
  <si>
    <t>Specify the Focal Length of the Camera Lens   (mm):</t>
  </si>
  <si>
    <t xml:space="preserve">                                        Calculates the Values for Entry in Steps 2) and 4)</t>
  </si>
  <si>
    <t>&lt;&lt;----------------------------------------/</t>
  </si>
  <si>
    <t>&lt;&lt;----------------------------------------\</t>
  </si>
  <si>
    <t>|</t>
  </si>
  <si>
    <t>Step 7a)</t>
  </si>
  <si>
    <t>Step 7b)</t>
  </si>
  <si>
    <t xml:space="preserve">      CALCULATION OF DIFFRACTION-LIMITED MIN. APERTURE &amp; PRINT REZ @ f / </t>
  </si>
  <si>
    <t>Specify an Estimate of Eye Resolving Power or Desired Print Resolution (lp/mm):</t>
  </si>
  <si>
    <t xml:space="preserve"> To avoid visible diffraction, do not stop down below this f-Stop!</t>
  </si>
  <si>
    <t>Specify Estimate of On-film System Resolving Power - Lens &amp; Film combined (lp/mm):</t>
  </si>
  <si>
    <t>Avoid  &gt; f /</t>
  </si>
  <si>
    <t xml:space="preserve">      CALCULATION OF THE MINIMUM WORKING APERTURE (where Airy Disk = Max. CoC)</t>
  </si>
  <si>
    <t>With Min. Working Aperture:</t>
  </si>
  <si>
    <t xml:space="preserve">For Desired Print Resolution: </t>
  </si>
  <si>
    <t>To Avoid Visible Diffraction, Do Not Stop Down to f-numbers &gt;  f /</t>
  </si>
  <si>
    <t xml:space="preserve">                           Warning: The effects of diffraction become visible at this f-Stop!</t>
  </si>
  <si>
    <r>
      <t xml:space="preserve">                             These Caclulations </t>
    </r>
    <r>
      <rPr>
        <b/>
        <i/>
        <sz val="10"/>
        <rFont val="Arial"/>
        <family val="2"/>
      </rPr>
      <t xml:space="preserve">DO </t>
    </r>
    <r>
      <rPr>
        <b/>
        <sz val="10"/>
        <rFont val="Arial"/>
        <family val="2"/>
      </rPr>
      <t>Require the Use of Steps 3 and 4</t>
    </r>
  </si>
  <si>
    <t xml:space="preserve">Diffraction would limit Print Rez to (lp/mm):  </t>
  </si>
  <si>
    <t xml:space="preserve">The Diffraction-Limited Min. Aperture is f /  :  </t>
  </si>
  <si>
    <r>
      <t xml:space="preserve">   Note:  Diffraction-Limited Min. Aperture is </t>
    </r>
    <r>
      <rPr>
        <b/>
        <i/>
        <sz val="10"/>
        <color indexed="10"/>
        <rFont val="Arial"/>
        <family val="2"/>
      </rPr>
      <t>not</t>
    </r>
    <r>
      <rPr>
        <b/>
        <sz val="10"/>
        <color indexed="10"/>
        <rFont val="Arial"/>
        <family val="2"/>
      </rPr>
      <t xml:space="preserve"> the same as our Min. Working Aperture.  See Note 7!</t>
    </r>
  </si>
  <si>
    <t>Note:  This particular example is how I prefer to use this spreadsheet.</t>
  </si>
  <si>
    <t xml:space="preserve">The current version of this spreadsheet can be found at: </t>
  </si>
  <si>
    <t>Minimum Viewing Distance - System Resoluton at Print vs. Recommended 5 lp/mm (cm):</t>
  </si>
  <si>
    <t>Minimum Viewing Distance - Maximum CoC Diameter at Print vs. 5 lp/mm (cm):</t>
  </si>
  <si>
    <t>Combined rez (lp/mm on-print) of your Max. CoC and an Airy Disk at   f/</t>
  </si>
  <si>
    <r>
      <t>1/</t>
    </r>
    <r>
      <rPr>
        <b/>
        <sz val="10"/>
        <color indexed="13"/>
        <rFont val="Arial"/>
        <family val="2"/>
      </rPr>
      <t>nnn</t>
    </r>
    <r>
      <rPr>
        <b/>
        <sz val="10"/>
        <color indexed="9"/>
        <rFont val="Arial"/>
        <family val="2"/>
      </rPr>
      <t xml:space="preserve"> inch CoC required in Step 5 (Row 73) to deliver desired print rez at this f-stop:  </t>
    </r>
  </si>
  <si>
    <t xml:space="preserve"> &lt;-- This is not necessary unless you expect to work at this aperture and </t>
  </si>
  <si>
    <t xml:space="preserve">       the Nears and Fars absolutely must be at the desired print resolution.</t>
  </si>
  <si>
    <t xml:space="preserve"> &lt;-- shooting at the calculated aperture where Airy Disk = Max. CoC.</t>
  </si>
  <si>
    <t xml:space="preserve">       This print rez will only occur at the Near and Far limits of DoF when </t>
  </si>
  <si>
    <t>Combined diameter (mm on-film) of Max. CoC and an Airy Disk at   f/</t>
  </si>
  <si>
    <t>http://www.largeformatphotography.info/articles/DoFinDepth.pdf</t>
  </si>
  <si>
    <t xml:space="preserve">f-Number </t>
  </si>
  <si>
    <r>
      <t>N</t>
    </r>
    <r>
      <rPr>
        <b/>
        <vertAlign val="subscript"/>
        <sz val="10"/>
        <color indexed="9"/>
        <rFont val="Arial"/>
        <family val="2"/>
      </rPr>
      <t>max</t>
    </r>
  </si>
  <si>
    <r>
      <t xml:space="preserve">Jeff Conrad's white paper, </t>
    </r>
    <r>
      <rPr>
        <b/>
        <i/>
        <sz val="10"/>
        <rFont val="Arial"/>
        <family val="2"/>
      </rPr>
      <t>Depth of Field in Depth</t>
    </r>
    <r>
      <rPr>
        <sz val="10"/>
        <rFont val="Arial"/>
        <family val="2"/>
      </rPr>
      <t>, is available at:</t>
    </r>
  </si>
  <si>
    <t>CoC</t>
  </si>
  <si>
    <t>Derived</t>
  </si>
  <si>
    <r>
      <t xml:space="preserve">     Here is a table of N</t>
    </r>
    <r>
      <rPr>
        <b/>
        <vertAlign val="subscript"/>
        <sz val="10"/>
        <color indexed="9"/>
        <rFont val="Arial"/>
        <family val="2"/>
      </rPr>
      <t>max</t>
    </r>
    <r>
      <rPr>
        <b/>
        <sz val="10"/>
        <color indexed="9"/>
        <rFont val="Arial"/>
      </rPr>
      <t xml:space="preserve"> values, based on Jeff Conrad's equation, for various CoC-derived f-Numbers, using the CoC value </t>
    </r>
  </si>
  <si>
    <t>f-Number</t>
  </si>
  <si>
    <t xml:space="preserve">        MTF-Optimum f-Numbers</t>
  </si>
  <si>
    <r>
      <t>N</t>
    </r>
    <r>
      <rPr>
        <b/>
        <vertAlign val="subscript"/>
        <sz val="10"/>
        <rFont val="Arial"/>
        <family val="2"/>
      </rPr>
      <t>max</t>
    </r>
    <r>
      <rPr>
        <b/>
        <sz val="10"/>
        <rFont val="Arial"/>
        <family val="2"/>
      </rPr>
      <t xml:space="preserve"> = SQRT (CoC</t>
    </r>
    <r>
      <rPr>
        <b/>
        <vertAlign val="subscript"/>
        <sz val="10"/>
        <rFont val="Arial"/>
        <family val="2"/>
      </rPr>
      <t>marked</t>
    </r>
    <r>
      <rPr>
        <b/>
        <sz val="10"/>
        <rFont val="Arial"/>
        <family val="2"/>
      </rPr>
      <t xml:space="preserve"> * 800 * N</t>
    </r>
    <r>
      <rPr>
        <b/>
        <vertAlign val="subscript"/>
        <sz val="10"/>
        <rFont val="Arial"/>
        <family val="2"/>
      </rPr>
      <t>marked</t>
    </r>
    <r>
      <rPr>
        <b/>
        <sz val="10"/>
        <rFont val="Arial"/>
        <family val="2"/>
      </rPr>
      <t>)</t>
    </r>
  </si>
  <si>
    <r>
      <t xml:space="preserve">His </t>
    </r>
    <r>
      <rPr>
        <b/>
        <sz val="10"/>
        <rFont val="Arial"/>
        <family val="2"/>
      </rPr>
      <t>Equation (122)</t>
    </r>
    <r>
      <rPr>
        <sz val="10"/>
        <rFont val="Arial"/>
      </rPr>
      <t xml:space="preserve">, on page 38, calculates the </t>
    </r>
    <r>
      <rPr>
        <b/>
        <sz val="10"/>
        <rFont val="Arial"/>
        <family val="2"/>
      </rPr>
      <t>MTF-Optimum f-Number</t>
    </r>
    <r>
      <rPr>
        <sz val="10"/>
        <rFont val="Arial"/>
      </rPr>
      <t>, optimizing the effects of diffraction and defocus:</t>
    </r>
  </si>
  <si>
    <t xml:space="preserve">     chosen above and a K of 738.644 (which corresponds to the diameter of diffraction's Airy disk at a wavelength of 555 nm).</t>
  </si>
  <si>
    <t>f-</t>
  </si>
  <si>
    <t>Shoot at</t>
  </si>
  <si>
    <t>MTF Opt.</t>
  </si>
  <si>
    <r>
      <t xml:space="preserve">     Notice that his N</t>
    </r>
    <r>
      <rPr>
        <b/>
        <vertAlign val="subscript"/>
        <sz val="10"/>
        <color indexed="9"/>
        <rFont val="Arial"/>
        <family val="2"/>
      </rPr>
      <t>max</t>
    </r>
    <r>
      <rPr>
        <b/>
        <sz val="10"/>
        <color indexed="9"/>
        <rFont val="Arial"/>
      </rPr>
      <t xml:space="preserve"> values vary with the depth of the subject space.  </t>
    </r>
  </si>
  <si>
    <r>
      <t xml:space="preserve">     N</t>
    </r>
    <r>
      <rPr>
        <b/>
        <vertAlign val="subscript"/>
        <sz val="10"/>
        <color indexed="8"/>
        <rFont val="Arial"/>
        <family val="2"/>
      </rPr>
      <t>max</t>
    </r>
    <r>
      <rPr>
        <b/>
        <sz val="10"/>
        <color indexed="8"/>
        <rFont val="Arial"/>
        <family val="2"/>
      </rPr>
      <t xml:space="preserve"> f-Numbers yield higher resolutions than their respective CoC derived f-Numbers!</t>
    </r>
  </si>
  <si>
    <t xml:space="preserve">     The optimum f-Number varies with subject depth.  Use the Nmax f-Number instead of </t>
  </si>
  <si>
    <t xml:space="preserve">     the CoC-derived f-Number to optimize MTF across the image.  Focus as if you are using</t>
  </si>
  <si>
    <t xml:space="preserve">     the CoC-derived f-Number.</t>
  </si>
  <si>
    <t xml:space="preserve">     At these f-Numbers, the blur due to diffraction will exceed your desired print resolution.  </t>
  </si>
  <si>
    <r>
      <t xml:space="preserve">     N</t>
    </r>
    <r>
      <rPr>
        <b/>
        <vertAlign val="subscript"/>
        <sz val="10"/>
        <color indexed="8"/>
        <rFont val="Arial"/>
        <family val="2"/>
      </rPr>
      <t>max</t>
    </r>
    <r>
      <rPr>
        <b/>
        <sz val="10"/>
        <color indexed="8"/>
        <rFont val="Arial"/>
        <family val="2"/>
      </rPr>
      <t xml:space="preserve"> f-Numbers in </t>
    </r>
    <r>
      <rPr>
        <b/>
        <sz val="10"/>
        <color indexed="10"/>
        <rFont val="Arial"/>
        <family val="2"/>
      </rPr>
      <t>red</t>
    </r>
    <r>
      <rPr>
        <b/>
        <sz val="10"/>
        <color indexed="8"/>
        <rFont val="Arial"/>
        <family val="2"/>
      </rPr>
      <t xml:space="preserve"> exceed the Minimum Working Aperture:   </t>
    </r>
  </si>
  <si>
    <r>
      <t xml:space="preserve">     Do not use the f-Numbers highlighted in </t>
    </r>
    <r>
      <rPr>
        <b/>
        <sz val="10"/>
        <color indexed="10"/>
        <rFont val="Arial"/>
        <family val="2"/>
      </rPr>
      <t>red</t>
    </r>
    <r>
      <rPr>
        <b/>
        <sz val="10"/>
        <color indexed="8"/>
        <rFont val="Arial"/>
        <family val="2"/>
      </rPr>
      <t>.</t>
    </r>
  </si>
  <si>
    <t>MTF-Opt.</t>
  </si>
  <si>
    <t>MTF</t>
  </si>
  <si>
    <t>Optimum</t>
  </si>
  <si>
    <t>http://www.AccessZ.com/tools.htm</t>
  </si>
  <si>
    <t>http://www.AccessZ.com</t>
  </si>
  <si>
    <t>v9.9.8s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</si>
</sst>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5" formatCode="0.000"/>
    <numFmt numFmtId="166" formatCode="#,##0.000_);\(#,##0.000\)"/>
    <numFmt numFmtId="167" formatCode="0.0"/>
    <numFmt numFmtId="168" formatCode="#,##0.0_);\(#,##0.0\)"/>
    <numFmt numFmtId="170" formatCode=";;;"/>
    <numFmt numFmtId="172" formatCode="0.00000"/>
    <numFmt numFmtId="173" formatCode="0.000000"/>
  </numFmts>
  <fonts count="38" x14ac:knownFonts="1">
    <font>
      <sz val="10"/>
      <name val="Arial"/>
    </font>
    <font>
      <b/>
      <sz val="10"/>
      <name val="Arial"/>
    </font>
    <font>
      <sz val="10"/>
      <name val="Arial"/>
    </font>
    <font>
      <sz val="10"/>
      <color indexed="12"/>
      <name val="Courier"/>
    </font>
    <font>
      <sz val="10"/>
      <name val="Courier"/>
    </font>
    <font>
      <b/>
      <sz val="10"/>
      <color indexed="12"/>
      <name val="Courier"/>
    </font>
    <font>
      <b/>
      <sz val="10"/>
      <color indexed="8"/>
      <name val="Arial"/>
    </font>
    <font>
      <b/>
      <sz val="10"/>
      <color indexed="8"/>
      <name val="Arial"/>
      <family val="2"/>
    </font>
    <font>
      <sz val="12"/>
      <name val="Arial"/>
    </font>
    <font>
      <b/>
      <sz val="10"/>
      <color indexed="9"/>
      <name val="Arial"/>
      <family val="2"/>
    </font>
    <font>
      <sz val="10"/>
      <color indexed="9"/>
      <name val="Arial"/>
      <family val="2"/>
    </font>
    <font>
      <b/>
      <sz val="10"/>
      <color indexed="9"/>
      <name val="Arial"/>
    </font>
    <font>
      <sz val="10"/>
      <color indexed="9"/>
      <name val="Arial"/>
    </font>
    <font>
      <sz val="10"/>
      <color indexed="9"/>
      <name val="Courier"/>
    </font>
    <font>
      <b/>
      <sz val="10"/>
      <name val="Arial"/>
      <family val="2"/>
    </font>
    <font>
      <b/>
      <sz val="9"/>
      <color indexed="9"/>
      <name val="Arial"/>
      <family val="2"/>
    </font>
    <font>
      <b/>
      <sz val="10"/>
      <name val="Courier"/>
      <family val="3"/>
    </font>
    <font>
      <sz val="10"/>
      <name val="Arial"/>
      <family val="2"/>
    </font>
    <font>
      <b/>
      <sz val="10"/>
      <color indexed="10"/>
      <name val="Arial"/>
      <family val="2"/>
    </font>
    <font>
      <u/>
      <sz val="10"/>
      <color indexed="12"/>
      <name val="Arial"/>
    </font>
    <font>
      <sz val="10"/>
      <name val="Courier New"/>
      <family val="3"/>
    </font>
    <font>
      <b/>
      <i/>
      <sz val="10"/>
      <name val="Arial"/>
      <family val="2"/>
    </font>
    <font>
      <sz val="10"/>
      <color indexed="10"/>
      <name val="Arial"/>
      <family val="2"/>
    </font>
    <font>
      <b/>
      <sz val="20"/>
      <name val="Arial"/>
      <family val="2"/>
    </font>
    <font>
      <b/>
      <sz val="10"/>
      <color indexed="13"/>
      <name val="Arial"/>
      <family val="2"/>
    </font>
    <font>
      <b/>
      <sz val="10"/>
      <color indexed="10"/>
      <name val="Arial"/>
    </font>
    <font>
      <sz val="10"/>
      <color indexed="10"/>
      <name val="Arial"/>
    </font>
    <font>
      <sz val="10"/>
      <color indexed="10"/>
      <name val="Courier"/>
    </font>
    <font>
      <sz val="10"/>
      <color indexed="8"/>
      <name val="Arial"/>
      <family val="2"/>
    </font>
    <font>
      <sz val="10"/>
      <name val="Courier"/>
      <family val="3"/>
    </font>
    <font>
      <sz val="10"/>
      <name val="Arial"/>
    </font>
    <font>
      <b/>
      <sz val="9"/>
      <name val="Arial"/>
      <family val="2"/>
    </font>
    <font>
      <sz val="10"/>
      <name val="Arial"/>
    </font>
    <font>
      <b/>
      <i/>
      <sz val="10"/>
      <color indexed="10"/>
      <name val="Arial"/>
      <family val="2"/>
    </font>
    <font>
      <b/>
      <sz val="10"/>
      <color indexed="9"/>
      <name val="Courier"/>
    </font>
    <font>
      <b/>
      <vertAlign val="subscript"/>
      <sz val="10"/>
      <color indexed="9"/>
      <name val="Arial"/>
      <family val="2"/>
    </font>
    <font>
      <b/>
      <vertAlign val="subscript"/>
      <sz val="10"/>
      <name val="Arial"/>
      <family val="2"/>
    </font>
    <font>
      <b/>
      <vertAlign val="subscript"/>
      <sz val="10"/>
      <color indexed="8"/>
      <name val="Arial"/>
      <family val="2"/>
    </font>
  </fonts>
  <fills count="1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8"/>
        <bgColor indexed="64"/>
      </patternFill>
    </fill>
    <fill>
      <patternFill patternType="solid">
        <fgColor indexed="23"/>
        <bgColor indexed="64"/>
      </patternFill>
    </fill>
    <fill>
      <patternFill patternType="solid">
        <fgColor indexed="22"/>
        <bgColor indexed="64"/>
      </patternFill>
    </fill>
    <fill>
      <patternFill patternType="solid">
        <fgColor indexed="63"/>
        <bgColor indexed="64"/>
      </patternFill>
    </fill>
    <fill>
      <patternFill patternType="solid">
        <fgColor indexed="55"/>
        <bgColor indexed="64"/>
      </patternFill>
    </fill>
    <fill>
      <patternFill patternType="solid">
        <fgColor indexed="21"/>
        <bgColor indexed="64"/>
      </patternFill>
    </fill>
  </fills>
  <borders count="66">
    <border>
      <left/>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medium">
        <color indexed="9"/>
      </bottom>
      <diagonal/>
    </border>
    <border>
      <left/>
      <right/>
      <top/>
      <bottom style="medium">
        <color indexed="9"/>
      </bottom>
      <diagonal/>
    </border>
    <border>
      <left style="medium">
        <color indexed="64"/>
      </left>
      <right style="medium">
        <color indexed="64"/>
      </right>
      <top/>
      <bottom style="medium">
        <color indexed="9"/>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9"/>
      </bottom>
      <diagonal/>
    </border>
    <border>
      <left/>
      <right style="medium">
        <color indexed="64"/>
      </right>
      <top style="medium">
        <color indexed="64"/>
      </top>
      <bottom style="thin">
        <color indexed="9"/>
      </bottom>
      <diagonal/>
    </border>
    <border>
      <left style="medium">
        <color indexed="64"/>
      </left>
      <right/>
      <top style="thin">
        <color indexed="9"/>
      </top>
      <bottom style="medium">
        <color indexed="64"/>
      </bottom>
      <diagonal/>
    </border>
    <border>
      <left/>
      <right/>
      <top style="thin">
        <color indexed="9"/>
      </top>
      <bottom style="medium">
        <color indexed="64"/>
      </bottom>
      <diagonal/>
    </border>
    <border>
      <left/>
      <right style="medium">
        <color indexed="64"/>
      </right>
      <top style="thin">
        <color indexed="9"/>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9"/>
      </bottom>
      <diagonal/>
    </border>
    <border>
      <left/>
      <right/>
      <top style="medium">
        <color indexed="64"/>
      </top>
      <bottom style="thin">
        <color indexed="9"/>
      </bottom>
      <diagonal/>
    </border>
    <border>
      <left style="medium">
        <color indexed="64"/>
      </left>
      <right/>
      <top/>
      <bottom style="thin">
        <color indexed="9"/>
      </bottom>
      <diagonal/>
    </border>
    <border>
      <left/>
      <right/>
      <top/>
      <bottom style="thin">
        <color indexed="9"/>
      </bottom>
      <diagonal/>
    </border>
    <border>
      <left/>
      <right style="medium">
        <color indexed="64"/>
      </right>
      <top/>
      <bottom style="thin">
        <color indexed="9"/>
      </bottom>
      <diagonal/>
    </border>
    <border>
      <left/>
      <right style="medium">
        <color indexed="9"/>
      </right>
      <top style="medium">
        <color indexed="64"/>
      </top>
      <bottom style="medium">
        <color indexed="64"/>
      </bottom>
      <diagonal/>
    </border>
    <border>
      <left style="medium">
        <color indexed="9"/>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9"/>
      </left>
      <right/>
      <top/>
      <bottom/>
      <diagonal/>
    </border>
    <border>
      <left style="medium">
        <color indexed="9"/>
      </left>
      <right/>
      <top style="medium">
        <color indexed="64"/>
      </top>
      <bottom/>
      <diagonal/>
    </border>
  </borders>
  <cellStyleXfs count="3">
    <xf numFmtId="0" fontId="0" fillId="0" borderId="0"/>
    <xf numFmtId="43" fontId="2" fillId="0" borderId="0" applyFont="0" applyFill="0" applyBorder="0" applyAlignment="0" applyProtection="0"/>
    <xf numFmtId="0" fontId="19" fillId="0" borderId="0" applyNumberFormat="0" applyFill="0" applyBorder="0" applyAlignment="0" applyProtection="0">
      <alignment vertical="top"/>
      <protection locked="0"/>
    </xf>
  </cellStyleXfs>
  <cellXfs count="392">
    <xf numFmtId="0" fontId="0" fillId="0" borderId="0" xfId="0"/>
    <xf numFmtId="0" fontId="0" fillId="0" borderId="0" xfId="0" applyAlignment="1" applyProtection="1">
      <alignment horizontal="left"/>
    </xf>
    <xf numFmtId="0" fontId="0" fillId="0" borderId="0" xfId="0" applyBorder="1"/>
    <xf numFmtId="37" fontId="3" fillId="0" borderId="0" xfId="0" applyNumberFormat="1" applyFont="1" applyAlignment="1" applyProtection="1">
      <alignment horizontal="center"/>
      <protection locked="0"/>
    </xf>
    <xf numFmtId="166" fontId="5" fillId="0" borderId="0" xfId="0" applyNumberFormat="1" applyFont="1" applyBorder="1" applyAlignment="1" applyProtection="1">
      <alignment horizontal="center"/>
      <protection locked="0"/>
    </xf>
    <xf numFmtId="0" fontId="1" fillId="0" borderId="0" xfId="0" applyFont="1"/>
    <xf numFmtId="0" fontId="1" fillId="0" borderId="1" xfId="0" applyFont="1" applyBorder="1" applyAlignment="1">
      <alignment horizontal="center"/>
    </xf>
    <xf numFmtId="49" fontId="1" fillId="0" borderId="1" xfId="0" applyNumberFormat="1" applyFont="1" applyBorder="1" applyAlignment="1">
      <alignment horizontal="center"/>
    </xf>
    <xf numFmtId="43" fontId="4" fillId="0" borderId="0" xfId="1" applyFont="1" applyAlignment="1" applyProtection="1">
      <alignment horizontal="center"/>
    </xf>
    <xf numFmtId="0" fontId="1" fillId="0" borderId="0" xfId="0" applyFont="1" applyBorder="1"/>
    <xf numFmtId="2" fontId="7" fillId="2" borderId="2" xfId="0" applyNumberFormat="1" applyFont="1" applyFill="1" applyBorder="1" applyAlignment="1" applyProtection="1">
      <alignment horizontal="center"/>
      <protection locked="0"/>
    </xf>
    <xf numFmtId="39" fontId="7" fillId="2" borderId="3" xfId="0" applyNumberFormat="1" applyFont="1" applyFill="1" applyBorder="1" applyAlignment="1" applyProtection="1">
      <alignment horizontal="center"/>
      <protection locked="0"/>
    </xf>
    <xf numFmtId="2" fontId="6" fillId="2" borderId="4" xfId="0" applyNumberFormat="1" applyFont="1" applyFill="1" applyBorder="1" applyAlignment="1" applyProtection="1">
      <alignment horizontal="center"/>
      <protection locked="0"/>
    </xf>
    <xf numFmtId="2" fontId="6" fillId="2" borderId="5" xfId="0" applyNumberFormat="1" applyFont="1" applyFill="1" applyBorder="1" applyAlignment="1" applyProtection="1">
      <alignment horizontal="center"/>
      <protection locked="0"/>
    </xf>
    <xf numFmtId="2" fontId="6" fillId="2" borderId="6" xfId="0" applyNumberFormat="1" applyFont="1" applyFill="1" applyBorder="1" applyAlignment="1" applyProtection="1">
      <alignment horizontal="center"/>
      <protection locked="0"/>
    </xf>
    <xf numFmtId="0" fontId="8" fillId="0" borderId="0" xfId="0" applyFont="1"/>
    <xf numFmtId="2" fontId="1" fillId="3" borderId="3" xfId="0" applyNumberFormat="1" applyFont="1" applyFill="1" applyBorder="1" applyAlignment="1">
      <alignment horizontal="center"/>
    </xf>
    <xf numFmtId="0" fontId="9" fillId="4" borderId="7" xfId="0" applyFont="1" applyFill="1" applyBorder="1"/>
    <xf numFmtId="0" fontId="10" fillId="4" borderId="8" xfId="0" applyFont="1" applyFill="1" applyBorder="1"/>
    <xf numFmtId="0" fontId="10" fillId="4" borderId="9" xfId="0" applyFont="1" applyFill="1" applyBorder="1"/>
    <xf numFmtId="0" fontId="9" fillId="4" borderId="7" xfId="0" applyFont="1" applyFill="1" applyBorder="1" applyAlignment="1">
      <alignment horizontal="left"/>
    </xf>
    <xf numFmtId="0" fontId="9" fillId="4" borderId="8" xfId="0" applyFont="1" applyFill="1" applyBorder="1" applyAlignment="1">
      <alignment horizontal="left"/>
    </xf>
    <xf numFmtId="0" fontId="10" fillId="4" borderId="8" xfId="0" applyFont="1" applyFill="1" applyBorder="1" applyAlignment="1">
      <alignment horizontal="left"/>
    </xf>
    <xf numFmtId="0" fontId="10" fillId="4" borderId="9" xfId="0" applyFont="1" applyFill="1" applyBorder="1" applyAlignment="1">
      <alignment horizontal="left"/>
    </xf>
    <xf numFmtId="0" fontId="11" fillId="4" borderId="7" xfId="0" applyFont="1" applyFill="1" applyBorder="1" applyAlignment="1">
      <alignment horizontal="left"/>
    </xf>
    <xf numFmtId="0" fontId="11" fillId="4" borderId="8" xfId="0" applyFont="1" applyFill="1" applyBorder="1" applyAlignment="1">
      <alignment horizontal="left"/>
    </xf>
    <xf numFmtId="0" fontId="12" fillId="4" borderId="8" xfId="0" applyFont="1" applyFill="1" applyBorder="1" applyAlignment="1">
      <alignment horizontal="left"/>
    </xf>
    <xf numFmtId="43" fontId="13" fillId="4" borderId="8" xfId="1" applyFont="1" applyFill="1" applyBorder="1" applyAlignment="1" applyProtection="1">
      <alignment horizontal="left"/>
    </xf>
    <xf numFmtId="2" fontId="7" fillId="3" borderId="4" xfId="0" applyNumberFormat="1" applyFont="1" applyFill="1" applyBorder="1" applyAlignment="1">
      <alignment horizontal="center"/>
    </xf>
    <xf numFmtId="2" fontId="7" fillId="3" borderId="10" xfId="0" applyNumberFormat="1" applyFont="1" applyFill="1" applyBorder="1" applyAlignment="1">
      <alignment horizontal="center"/>
    </xf>
    <xf numFmtId="2" fontId="7" fillId="3" borderId="6" xfId="0" applyNumberFormat="1" applyFont="1" applyFill="1" applyBorder="1" applyAlignment="1">
      <alignment horizontal="center"/>
    </xf>
    <xf numFmtId="2" fontId="7" fillId="3" borderId="11" xfId="0" applyNumberFormat="1" applyFont="1" applyFill="1" applyBorder="1" applyAlignment="1">
      <alignment horizontal="center"/>
    </xf>
    <xf numFmtId="0" fontId="9" fillId="5" borderId="12" xfId="0" applyFont="1" applyFill="1" applyBorder="1" applyAlignment="1">
      <alignment horizontal="center"/>
    </xf>
    <xf numFmtId="0" fontId="11" fillId="5" borderId="7" xfId="0" applyFont="1" applyFill="1" applyBorder="1" applyAlignment="1">
      <alignment horizontal="left"/>
    </xf>
    <xf numFmtId="0" fontId="11" fillId="5" borderId="8" xfId="0" applyFont="1" applyFill="1" applyBorder="1" applyAlignment="1">
      <alignment horizontal="left"/>
    </xf>
    <xf numFmtId="43" fontId="13" fillId="5" borderId="8" xfId="1" applyFont="1" applyFill="1" applyBorder="1" applyAlignment="1" applyProtection="1">
      <alignment horizontal="left"/>
    </xf>
    <xf numFmtId="0" fontId="9" fillId="5" borderId="13" xfId="0" applyFont="1" applyFill="1" applyBorder="1" applyAlignment="1">
      <alignment horizontal="center"/>
    </xf>
    <xf numFmtId="0" fontId="9" fillId="5" borderId="14" xfId="0" applyFont="1" applyFill="1" applyBorder="1" applyAlignment="1">
      <alignment horizontal="center"/>
    </xf>
    <xf numFmtId="0" fontId="9" fillId="5" borderId="15" xfId="0" applyFont="1" applyFill="1" applyBorder="1" applyAlignment="1">
      <alignment horizontal="center"/>
    </xf>
    <xf numFmtId="0" fontId="9" fillId="5" borderId="16" xfId="0" applyFont="1" applyFill="1" applyBorder="1" applyAlignment="1">
      <alignment horizontal="center"/>
    </xf>
    <xf numFmtId="0" fontId="9" fillId="5" borderId="17" xfId="0" applyFont="1" applyFill="1" applyBorder="1" applyAlignment="1">
      <alignment horizontal="center"/>
    </xf>
    <xf numFmtId="0" fontId="9" fillId="5" borderId="7" xfId="0" applyFont="1" applyFill="1" applyBorder="1"/>
    <xf numFmtId="0" fontId="10" fillId="5" borderId="8" xfId="0" applyFont="1" applyFill="1" applyBorder="1"/>
    <xf numFmtId="39" fontId="9" fillId="5" borderId="8" xfId="0" applyNumberFormat="1" applyFont="1" applyFill="1" applyBorder="1" applyAlignment="1">
      <alignment horizontal="right"/>
    </xf>
    <xf numFmtId="0" fontId="10" fillId="5" borderId="16" xfId="0" applyFont="1" applyFill="1" applyBorder="1"/>
    <xf numFmtId="0" fontId="9" fillId="5" borderId="18" xfId="0" applyFont="1" applyFill="1" applyBorder="1" applyAlignment="1">
      <alignment horizontal="center"/>
    </xf>
    <xf numFmtId="0" fontId="9" fillId="5" borderId="19" xfId="0" applyFont="1" applyFill="1" applyBorder="1" applyAlignment="1">
      <alignment horizontal="center"/>
    </xf>
    <xf numFmtId="0" fontId="9" fillId="5" borderId="20" xfId="0" applyFont="1" applyFill="1" applyBorder="1" applyAlignment="1">
      <alignment horizontal="center"/>
    </xf>
    <xf numFmtId="49" fontId="9" fillId="5" borderId="14" xfId="0" applyNumberFormat="1" applyFont="1" applyFill="1" applyBorder="1" applyAlignment="1">
      <alignment horizontal="center"/>
    </xf>
    <xf numFmtId="49" fontId="9" fillId="5" borderId="3" xfId="0" applyNumberFormat="1" applyFont="1" applyFill="1" applyBorder="1" applyAlignment="1">
      <alignment horizontal="center"/>
    </xf>
    <xf numFmtId="165" fontId="1" fillId="3" borderId="3" xfId="0" applyNumberFormat="1" applyFont="1" applyFill="1" applyBorder="1" applyAlignment="1">
      <alignment horizontal="center"/>
    </xf>
    <xf numFmtId="165" fontId="1" fillId="2" borderId="3" xfId="0" applyNumberFormat="1" applyFont="1" applyFill="1" applyBorder="1" applyAlignment="1" applyProtection="1">
      <alignment horizontal="center"/>
      <protection locked="0"/>
    </xf>
    <xf numFmtId="170" fontId="1" fillId="3" borderId="0" xfId="0" applyNumberFormat="1" applyFont="1" applyFill="1" applyBorder="1" applyAlignment="1" applyProtection="1">
      <alignment horizontal="center"/>
      <protection hidden="1"/>
    </xf>
    <xf numFmtId="0" fontId="0" fillId="0" borderId="0" xfId="0" applyAlignment="1">
      <alignment horizontal="right"/>
    </xf>
    <xf numFmtId="0" fontId="0" fillId="0" borderId="0" xfId="0" applyAlignment="1">
      <alignment horizontal="center"/>
    </xf>
    <xf numFmtId="170" fontId="7" fillId="3" borderId="0" xfId="0" applyNumberFormat="1" applyFont="1" applyFill="1" applyBorder="1" applyAlignment="1" applyProtection="1">
      <alignment horizontal="center"/>
    </xf>
    <xf numFmtId="0" fontId="11" fillId="5" borderId="8" xfId="0" applyFont="1" applyFill="1" applyBorder="1" applyAlignment="1">
      <alignment horizontal="right"/>
    </xf>
    <xf numFmtId="39" fontId="9" fillId="5" borderId="8" xfId="0" applyNumberFormat="1" applyFont="1" applyFill="1" applyBorder="1" applyAlignment="1">
      <alignment horizontal="left"/>
    </xf>
    <xf numFmtId="0" fontId="9" fillId="5" borderId="8" xfId="0" applyFont="1" applyFill="1" applyBorder="1" applyAlignment="1">
      <alignment horizontal="right"/>
    </xf>
    <xf numFmtId="167" fontId="7" fillId="2" borderId="18" xfId="0" applyNumberFormat="1" applyFont="1" applyFill="1" applyBorder="1" applyAlignment="1" applyProtection="1">
      <alignment horizontal="center"/>
      <protection locked="0"/>
    </xf>
    <xf numFmtId="43" fontId="16" fillId="0" borderId="0" xfId="1" applyFont="1" applyAlignment="1" applyProtection="1">
      <alignment horizontal="center"/>
    </xf>
    <xf numFmtId="0" fontId="0" fillId="0" borderId="0" xfId="0" applyAlignment="1">
      <alignment horizontal="left"/>
    </xf>
    <xf numFmtId="0" fontId="14" fillId="0" borderId="0" xfId="0" applyFont="1" applyAlignment="1">
      <alignment horizontal="center"/>
    </xf>
    <xf numFmtId="2" fontId="1" fillId="2" borderId="3" xfId="0" applyNumberFormat="1" applyFont="1" applyFill="1" applyBorder="1" applyAlignment="1" applyProtection="1">
      <alignment horizontal="center"/>
      <protection locked="0"/>
    </xf>
    <xf numFmtId="167" fontId="7" fillId="2" borderId="20" xfId="0" applyNumberFormat="1" applyFont="1" applyFill="1" applyBorder="1" applyAlignment="1" applyProtection="1">
      <alignment horizontal="center"/>
      <protection locked="0"/>
    </xf>
    <xf numFmtId="2" fontId="7" fillId="3" borderId="0" xfId="0" applyNumberFormat="1" applyFont="1" applyFill="1" applyBorder="1" applyAlignment="1">
      <alignment horizontal="center"/>
    </xf>
    <xf numFmtId="0" fontId="17" fillId="0" borderId="0" xfId="0" applyFont="1"/>
    <xf numFmtId="0" fontId="15" fillId="5" borderId="8" xfId="0" applyFont="1" applyFill="1" applyBorder="1" applyAlignment="1">
      <alignment horizontal="left"/>
    </xf>
    <xf numFmtId="2" fontId="1" fillId="3" borderId="0" xfId="0" applyNumberFormat="1" applyFont="1" applyFill="1" applyBorder="1" applyAlignment="1">
      <alignment horizontal="center"/>
    </xf>
    <xf numFmtId="167" fontId="0" fillId="0" borderId="0" xfId="0" applyNumberFormat="1"/>
    <xf numFmtId="43" fontId="13" fillId="4" borderId="21" xfId="1" applyFont="1" applyFill="1" applyBorder="1" applyAlignment="1" applyProtection="1">
      <alignment horizontal="left"/>
    </xf>
    <xf numFmtId="0" fontId="12" fillId="4" borderId="21" xfId="0" applyFont="1" applyFill="1" applyBorder="1" applyAlignment="1">
      <alignment horizontal="left"/>
    </xf>
    <xf numFmtId="0" fontId="12" fillId="4" borderId="22" xfId="0" applyFont="1" applyFill="1" applyBorder="1" applyAlignment="1">
      <alignment horizontal="left"/>
    </xf>
    <xf numFmtId="0" fontId="11" fillId="4" borderId="23" xfId="0" applyFont="1" applyFill="1" applyBorder="1" applyAlignment="1">
      <alignment horizontal="left"/>
    </xf>
    <xf numFmtId="0" fontId="11" fillId="4" borderId="21" xfId="0" applyFont="1" applyFill="1" applyBorder="1" applyAlignment="1">
      <alignment horizontal="left"/>
    </xf>
    <xf numFmtId="0" fontId="11" fillId="5" borderId="24" xfId="0" applyFont="1" applyFill="1" applyBorder="1" applyAlignment="1">
      <alignment horizontal="left"/>
    </xf>
    <xf numFmtId="43" fontId="9" fillId="5" borderId="21" xfId="1" applyFont="1" applyFill="1" applyBorder="1" applyAlignment="1" applyProtection="1">
      <alignment horizontal="left"/>
    </xf>
    <xf numFmtId="43" fontId="9" fillId="5" borderId="21" xfId="1" applyFont="1" applyFill="1" applyBorder="1" applyAlignment="1" applyProtection="1">
      <alignment horizontal="right"/>
    </xf>
    <xf numFmtId="0" fontId="9" fillId="5" borderId="25" xfId="0" applyFont="1" applyFill="1" applyBorder="1" applyAlignment="1">
      <alignment horizontal="right"/>
    </xf>
    <xf numFmtId="0" fontId="9" fillId="5" borderId="25" xfId="0" applyFont="1" applyFill="1" applyBorder="1" applyAlignment="1">
      <alignment horizontal="left"/>
    </xf>
    <xf numFmtId="0" fontId="18" fillId="0" borderId="0" xfId="0" applyFont="1"/>
    <xf numFmtId="39" fontId="14" fillId="6" borderId="3" xfId="0" applyNumberFormat="1" applyFont="1" applyFill="1" applyBorder="1" applyAlignment="1" applyProtection="1">
      <alignment horizontal="center"/>
      <protection locked="0"/>
    </xf>
    <xf numFmtId="0" fontId="17" fillId="0" borderId="0" xfId="0" applyFont="1" applyFill="1" applyBorder="1"/>
    <xf numFmtId="0" fontId="9" fillId="4" borderId="9" xfId="0" applyFont="1" applyFill="1" applyBorder="1" applyAlignment="1">
      <alignment horizontal="center"/>
    </xf>
    <xf numFmtId="0" fontId="9" fillId="4" borderId="7" xfId="0" applyFont="1" applyFill="1" applyBorder="1" applyAlignment="1">
      <alignment horizontal="center"/>
    </xf>
    <xf numFmtId="167" fontId="14" fillId="0" borderId="0" xfId="0" applyNumberFormat="1" applyFont="1"/>
    <xf numFmtId="0" fontId="10" fillId="5" borderId="8" xfId="0" applyFont="1" applyFill="1" applyBorder="1" applyAlignment="1">
      <alignment horizontal="left"/>
    </xf>
    <xf numFmtId="0" fontId="9" fillId="4" borderId="23" xfId="0" applyFont="1" applyFill="1" applyBorder="1"/>
    <xf numFmtId="0" fontId="9" fillId="4" borderId="21" xfId="0" applyFont="1" applyFill="1" applyBorder="1" applyAlignment="1">
      <alignment horizontal="left"/>
    </xf>
    <xf numFmtId="0" fontId="10" fillId="4" borderId="21" xfId="0" applyFont="1" applyFill="1" applyBorder="1" applyAlignment="1">
      <alignment horizontal="left"/>
    </xf>
    <xf numFmtId="0" fontId="9" fillId="4" borderId="22" xfId="0" applyFont="1" applyFill="1" applyBorder="1" applyAlignment="1">
      <alignment horizontal="center"/>
    </xf>
    <xf numFmtId="0" fontId="9" fillId="5" borderId="24" xfId="0" applyFont="1" applyFill="1" applyBorder="1"/>
    <xf numFmtId="0" fontId="10" fillId="5" borderId="25" xfId="0" applyFont="1" applyFill="1" applyBorder="1"/>
    <xf numFmtId="39" fontId="9" fillId="5" borderId="25" xfId="0" applyNumberFormat="1" applyFont="1" applyFill="1" applyBorder="1" applyAlignment="1">
      <alignment horizontal="left"/>
    </xf>
    <xf numFmtId="0" fontId="9" fillId="7" borderId="7" xfId="0" applyFont="1" applyFill="1" applyBorder="1"/>
    <xf numFmtId="0" fontId="10" fillId="7" borderId="8" xfId="0" applyFont="1" applyFill="1" applyBorder="1"/>
    <xf numFmtId="39" fontId="14" fillId="6" borderId="16" xfId="0" applyNumberFormat="1" applyFont="1" applyFill="1" applyBorder="1" applyAlignment="1" applyProtection="1">
      <alignment horizontal="center"/>
      <protection locked="0"/>
    </xf>
    <xf numFmtId="168" fontId="14" fillId="6" borderId="3" xfId="0" applyNumberFormat="1" applyFont="1" applyFill="1" applyBorder="1" applyAlignment="1" applyProtection="1">
      <alignment horizontal="center"/>
      <protection locked="0"/>
    </xf>
    <xf numFmtId="0" fontId="0" fillId="0" borderId="7" xfId="0" applyBorder="1"/>
    <xf numFmtId="0" fontId="0" fillId="0" borderId="8" xfId="0" applyBorder="1"/>
    <xf numFmtId="0" fontId="0" fillId="0" borderId="9" xfId="0" applyBorder="1"/>
    <xf numFmtId="0" fontId="0" fillId="0" borderId="0" xfId="0" applyBorder="1" applyAlignment="1" applyProtection="1">
      <alignment horizontal="left"/>
    </xf>
    <xf numFmtId="37" fontId="3" fillId="0" borderId="0" xfId="0" applyNumberFormat="1" applyFont="1" applyBorder="1" applyAlignment="1" applyProtection="1">
      <alignment horizontal="center"/>
      <protection locked="0"/>
    </xf>
    <xf numFmtId="0" fontId="9" fillId="7" borderId="26" xfId="0" applyFont="1" applyFill="1" applyBorder="1"/>
    <xf numFmtId="0" fontId="10" fillId="7" borderId="27" xfId="0" applyFont="1" applyFill="1" applyBorder="1"/>
    <xf numFmtId="0" fontId="9" fillId="7" borderId="28" xfId="0" applyFont="1" applyFill="1" applyBorder="1" applyAlignment="1">
      <alignment horizontal="right"/>
    </xf>
    <xf numFmtId="0" fontId="9" fillId="7" borderId="26" xfId="0" applyFont="1" applyFill="1" applyBorder="1" applyAlignment="1">
      <alignment horizontal="right"/>
    </xf>
    <xf numFmtId="168" fontId="7" fillId="2" borderId="16" xfId="0" applyNumberFormat="1" applyFont="1" applyFill="1" applyBorder="1" applyAlignment="1" applyProtection="1">
      <alignment horizontal="center"/>
      <protection locked="0"/>
    </xf>
    <xf numFmtId="0" fontId="9" fillId="7" borderId="24" xfId="0" applyFont="1" applyFill="1" applyBorder="1"/>
    <xf numFmtId="0" fontId="10" fillId="7" borderId="25" xfId="0" applyFont="1" applyFill="1" applyBorder="1"/>
    <xf numFmtId="0" fontId="9" fillId="7" borderId="29" xfId="0" applyFont="1" applyFill="1" applyBorder="1" applyAlignment="1">
      <alignment horizontal="right"/>
    </xf>
    <xf numFmtId="39" fontId="7" fillId="2" borderId="29" xfId="0" applyNumberFormat="1" applyFont="1" applyFill="1" applyBorder="1" applyAlignment="1" applyProtection="1">
      <alignment horizontal="center"/>
      <protection locked="0"/>
    </xf>
    <xf numFmtId="39" fontId="7" fillId="2" borderId="16" xfId="0" applyNumberFormat="1" applyFont="1" applyFill="1" applyBorder="1" applyAlignment="1" applyProtection="1">
      <alignment horizontal="center"/>
      <protection locked="0"/>
    </xf>
    <xf numFmtId="39" fontId="14" fillId="6" borderId="30" xfId="0" applyNumberFormat="1" applyFont="1" applyFill="1" applyBorder="1" applyAlignment="1" applyProtection="1">
      <alignment horizontal="center"/>
      <protection locked="0"/>
    </xf>
    <xf numFmtId="37" fontId="7" fillId="2" borderId="30" xfId="0" applyNumberFormat="1" applyFont="1" applyFill="1" applyBorder="1" applyAlignment="1" applyProtection="1">
      <alignment horizontal="center"/>
      <protection locked="0"/>
    </xf>
    <xf numFmtId="0" fontId="9" fillId="4" borderId="9" xfId="0" applyFont="1" applyFill="1" applyBorder="1" applyAlignment="1">
      <alignment horizontal="right"/>
    </xf>
    <xf numFmtId="0" fontId="9" fillId="4" borderId="31" xfId="0" applyFont="1" applyFill="1" applyBorder="1" applyAlignment="1">
      <alignment horizontal="right"/>
    </xf>
    <xf numFmtId="0" fontId="14" fillId="6" borderId="7" xfId="0" applyFont="1" applyFill="1" applyBorder="1" applyAlignment="1">
      <alignment horizontal="left"/>
    </xf>
    <xf numFmtId="0" fontId="14" fillId="6" borderId="8" xfId="0" applyFont="1" applyFill="1" applyBorder="1" applyAlignment="1">
      <alignment horizontal="left"/>
    </xf>
    <xf numFmtId="0" fontId="14" fillId="6" borderId="9" xfId="0" applyFont="1" applyFill="1" applyBorder="1" applyAlignment="1">
      <alignment horizontal="left"/>
    </xf>
    <xf numFmtId="0" fontId="15" fillId="5" borderId="8" xfId="0" applyFont="1" applyFill="1" applyBorder="1" applyAlignment="1">
      <alignment horizontal="right"/>
    </xf>
    <xf numFmtId="167" fontId="14" fillId="6" borderId="3" xfId="0" applyNumberFormat="1" applyFont="1" applyFill="1" applyBorder="1" applyAlignment="1">
      <alignment horizontal="center"/>
    </xf>
    <xf numFmtId="39" fontId="11" fillId="5" borderId="25" xfId="0" applyNumberFormat="1" applyFont="1" applyFill="1" applyBorder="1" applyAlignment="1">
      <alignment horizontal="right"/>
    </xf>
    <xf numFmtId="0" fontId="14" fillId="0" borderId="7" xfId="0" applyFont="1" applyFill="1" applyBorder="1" applyAlignment="1">
      <alignment horizontal="left"/>
    </xf>
    <xf numFmtId="0" fontId="14" fillId="0" borderId="8" xfId="0" applyFont="1" applyFill="1" applyBorder="1" applyAlignment="1">
      <alignment horizontal="left"/>
    </xf>
    <xf numFmtId="0" fontId="14" fillId="0" borderId="9" xfId="0" applyFont="1" applyFill="1" applyBorder="1" applyAlignment="1">
      <alignment horizontal="left"/>
    </xf>
    <xf numFmtId="0" fontId="23" fillId="0" borderId="0" xfId="0" applyFont="1"/>
    <xf numFmtId="0" fontId="25" fillId="0" borderId="25" xfId="0" applyFont="1" applyFill="1" applyBorder="1" applyAlignment="1">
      <alignment horizontal="left"/>
    </xf>
    <xf numFmtId="0" fontId="26" fillId="0" borderId="25" xfId="0" applyFont="1" applyFill="1" applyBorder="1" applyAlignment="1">
      <alignment horizontal="left"/>
    </xf>
    <xf numFmtId="43" fontId="27" fillId="0" borderId="25" xfId="1" applyFont="1" applyFill="1" applyBorder="1" applyAlignment="1" applyProtection="1">
      <alignment horizontal="left"/>
    </xf>
    <xf numFmtId="0" fontId="25" fillId="0" borderId="25" xfId="0" applyFont="1" applyFill="1" applyBorder="1" applyAlignment="1">
      <alignment horizontal="right"/>
    </xf>
    <xf numFmtId="167" fontId="18" fillId="0" borderId="29" xfId="0" applyNumberFormat="1" applyFont="1" applyFill="1" applyBorder="1" applyAlignment="1">
      <alignment horizontal="left"/>
    </xf>
    <xf numFmtId="43" fontId="13" fillId="5" borderId="7" xfId="1" applyFont="1" applyFill="1" applyBorder="1" applyAlignment="1" applyProtection="1">
      <alignment horizontal="left"/>
    </xf>
    <xf numFmtId="0" fontId="9" fillId="5" borderId="7" xfId="0" applyFont="1" applyFill="1" applyBorder="1" applyAlignment="1">
      <alignment horizontal="center"/>
    </xf>
    <xf numFmtId="2" fontId="24" fillId="5" borderId="9" xfId="0" applyNumberFormat="1" applyFont="1" applyFill="1" applyBorder="1" applyAlignment="1">
      <alignment horizontal="center"/>
    </xf>
    <xf numFmtId="39" fontId="24" fillId="5" borderId="8" xfId="0" applyNumberFormat="1" applyFont="1" applyFill="1" applyBorder="1" applyAlignment="1">
      <alignment horizontal="center"/>
    </xf>
    <xf numFmtId="2" fontId="9" fillId="5" borderId="25" xfId="0" applyNumberFormat="1" applyFont="1" applyFill="1" applyBorder="1" applyAlignment="1">
      <alignment horizontal="right"/>
    </xf>
    <xf numFmtId="2" fontId="24" fillId="4" borderId="9" xfId="0" applyNumberFormat="1" applyFont="1" applyFill="1" applyBorder="1" applyAlignment="1">
      <alignment horizontal="left"/>
    </xf>
    <xf numFmtId="0" fontId="11" fillId="4" borderId="7" xfId="0" applyFont="1" applyFill="1" applyBorder="1" applyAlignment="1">
      <alignment horizontal="right"/>
    </xf>
    <xf numFmtId="0" fontId="10" fillId="4" borderId="21" xfId="0" applyFont="1" applyFill="1" applyBorder="1"/>
    <xf numFmtId="0" fontId="9" fillId="4" borderId="32" xfId="0" applyFont="1" applyFill="1" applyBorder="1"/>
    <xf numFmtId="0" fontId="10" fillId="4" borderId="33" xfId="0" applyFont="1" applyFill="1" applyBorder="1"/>
    <xf numFmtId="0" fontId="10" fillId="4" borderId="34" xfId="0" applyFont="1" applyFill="1" applyBorder="1"/>
    <xf numFmtId="0" fontId="9" fillId="5" borderId="8" xfId="0" applyFont="1" applyFill="1" applyBorder="1" applyAlignment="1">
      <alignment horizontal="left"/>
    </xf>
    <xf numFmtId="0" fontId="9" fillId="4" borderId="23" xfId="0" applyFont="1" applyFill="1" applyBorder="1" applyAlignment="1">
      <alignment horizontal="left"/>
    </xf>
    <xf numFmtId="0" fontId="10" fillId="4" borderId="22" xfId="0" applyFont="1" applyFill="1" applyBorder="1" applyAlignment="1">
      <alignment horizontal="left"/>
    </xf>
    <xf numFmtId="0" fontId="9" fillId="4" borderId="24" xfId="0" applyFont="1" applyFill="1" applyBorder="1"/>
    <xf numFmtId="0" fontId="10" fillId="4" borderId="25" xfId="0" applyFont="1" applyFill="1" applyBorder="1"/>
    <xf numFmtId="0" fontId="10" fillId="4" borderId="29" xfId="0" applyFont="1" applyFill="1" applyBorder="1"/>
    <xf numFmtId="2" fontId="1" fillId="2" borderId="16" xfId="0" applyNumberFormat="1" applyFont="1" applyFill="1" applyBorder="1" applyAlignment="1" applyProtection="1">
      <alignment horizontal="center"/>
      <protection locked="0"/>
    </xf>
    <xf numFmtId="167" fontId="28" fillId="2" borderId="18" xfId="0" applyNumberFormat="1" applyFont="1" applyFill="1" applyBorder="1" applyAlignment="1" applyProtection="1">
      <alignment horizontal="center"/>
      <protection locked="0"/>
    </xf>
    <xf numFmtId="2" fontId="7" fillId="6" borderId="4" xfId="0" applyNumberFormat="1" applyFont="1" applyFill="1" applyBorder="1" applyAlignment="1">
      <alignment horizontal="center"/>
    </xf>
    <xf numFmtId="2" fontId="7" fillId="6" borderId="35" xfId="0" applyNumberFormat="1" applyFont="1" applyFill="1" applyBorder="1" applyAlignment="1">
      <alignment horizontal="center"/>
    </xf>
    <xf numFmtId="2" fontId="7" fillId="6" borderId="10" xfId="0" applyNumberFormat="1" applyFont="1" applyFill="1" applyBorder="1" applyAlignment="1">
      <alignment horizontal="center"/>
    </xf>
    <xf numFmtId="2" fontId="7" fillId="6" borderId="36" xfId="0" applyNumberFormat="1" applyFont="1" applyFill="1" applyBorder="1" applyAlignment="1">
      <alignment horizontal="center"/>
    </xf>
    <xf numFmtId="2" fontId="7" fillId="6" borderId="2" xfId="0" applyNumberFormat="1" applyFont="1" applyFill="1" applyBorder="1" applyAlignment="1">
      <alignment horizontal="center"/>
    </xf>
    <xf numFmtId="167" fontId="7" fillId="6" borderId="37" xfId="0" applyNumberFormat="1" applyFont="1" applyFill="1" applyBorder="1" applyAlignment="1">
      <alignment horizontal="center"/>
    </xf>
    <xf numFmtId="2" fontId="7" fillId="6" borderId="38" xfId="0" applyNumberFormat="1" applyFont="1" applyFill="1" applyBorder="1" applyAlignment="1">
      <alignment horizontal="center"/>
    </xf>
    <xf numFmtId="167" fontId="7" fillId="6" borderId="10" xfId="0" applyNumberFormat="1" applyFont="1" applyFill="1" applyBorder="1" applyAlignment="1">
      <alignment horizontal="center"/>
    </xf>
    <xf numFmtId="2" fontId="7" fillId="6" borderId="6" xfId="0" applyNumberFormat="1" applyFont="1" applyFill="1" applyBorder="1" applyAlignment="1">
      <alignment horizontal="center"/>
    </xf>
    <xf numFmtId="2" fontId="7" fillId="6" borderId="39" xfId="0" applyNumberFormat="1" applyFont="1" applyFill="1" applyBorder="1" applyAlignment="1">
      <alignment horizontal="center"/>
    </xf>
    <xf numFmtId="2" fontId="7" fillId="6" borderId="11" xfId="0" applyNumberFormat="1" applyFont="1" applyFill="1" applyBorder="1" applyAlignment="1">
      <alignment horizontal="center"/>
    </xf>
    <xf numFmtId="2" fontId="7" fillId="6" borderId="40" xfId="0" applyNumberFormat="1" applyFont="1" applyFill="1" applyBorder="1" applyAlignment="1">
      <alignment horizontal="center"/>
    </xf>
    <xf numFmtId="167" fontId="7" fillId="6" borderId="11" xfId="0" applyNumberFormat="1" applyFont="1" applyFill="1" applyBorder="1" applyAlignment="1">
      <alignment horizontal="center"/>
    </xf>
    <xf numFmtId="167" fontId="7" fillId="6" borderId="36" xfId="0" applyNumberFormat="1" applyFont="1" applyFill="1" applyBorder="1" applyAlignment="1">
      <alignment horizontal="center"/>
    </xf>
    <xf numFmtId="167" fontId="7" fillId="6" borderId="38" xfId="0" applyNumberFormat="1" applyFont="1" applyFill="1" applyBorder="1" applyAlignment="1">
      <alignment horizontal="center"/>
    </xf>
    <xf numFmtId="167" fontId="7" fillId="6" borderId="40" xfId="0" applyNumberFormat="1" applyFont="1" applyFill="1" applyBorder="1" applyAlignment="1">
      <alignment horizontal="center"/>
    </xf>
    <xf numFmtId="2" fontId="28" fillId="3" borderId="4" xfId="0" applyNumberFormat="1" applyFont="1" applyFill="1" applyBorder="1" applyAlignment="1">
      <alignment horizontal="center"/>
    </xf>
    <xf numFmtId="2" fontId="28" fillId="3" borderId="35" xfId="0" applyNumberFormat="1" applyFont="1" applyFill="1" applyBorder="1" applyAlignment="1">
      <alignment horizontal="center"/>
    </xf>
    <xf numFmtId="2" fontId="28" fillId="3" borderId="10" xfId="0" applyNumberFormat="1" applyFont="1" applyFill="1" applyBorder="1" applyAlignment="1">
      <alignment horizontal="center"/>
    </xf>
    <xf numFmtId="43" fontId="29" fillId="0" borderId="0" xfId="1" applyFont="1" applyAlignment="1" applyProtection="1">
      <alignment horizontal="center"/>
    </xf>
    <xf numFmtId="2" fontId="28" fillId="3" borderId="38" xfId="0" applyNumberFormat="1" applyFont="1" applyFill="1" applyBorder="1" applyAlignment="1">
      <alignment horizontal="center"/>
    </xf>
    <xf numFmtId="167" fontId="28" fillId="3" borderId="10" xfId="0" applyNumberFormat="1" applyFont="1" applyFill="1" applyBorder="1" applyAlignment="1">
      <alignment horizontal="center"/>
    </xf>
    <xf numFmtId="0" fontId="30" fillId="0" borderId="0" xfId="0" applyFont="1"/>
    <xf numFmtId="167" fontId="28" fillId="3" borderId="38" xfId="0" applyNumberFormat="1" applyFont="1" applyFill="1" applyBorder="1" applyAlignment="1">
      <alignment horizontal="center"/>
    </xf>
    <xf numFmtId="2" fontId="28" fillId="3" borderId="0" xfId="0" applyNumberFormat="1" applyFont="1" applyFill="1" applyBorder="1" applyAlignment="1">
      <alignment horizontal="center"/>
    </xf>
    <xf numFmtId="0" fontId="9" fillId="4" borderId="12" xfId="0" applyFont="1" applyFill="1" applyBorder="1" applyAlignment="1">
      <alignment horizontal="left"/>
    </xf>
    <xf numFmtId="37" fontId="7" fillId="2" borderId="29" xfId="0" applyNumberFormat="1" applyFont="1" applyFill="1" applyBorder="1" applyAlignment="1" applyProtection="1">
      <alignment horizontal="center"/>
      <protection locked="0"/>
    </xf>
    <xf numFmtId="167" fontId="9" fillId="5" borderId="3" xfId="0" applyNumberFormat="1" applyFont="1" applyFill="1" applyBorder="1" applyAlignment="1">
      <alignment horizontal="center"/>
    </xf>
    <xf numFmtId="0" fontId="9" fillId="7" borderId="41" xfId="0" applyFont="1" applyFill="1" applyBorder="1"/>
    <xf numFmtId="0" fontId="10" fillId="7" borderId="42" xfId="0" applyFont="1" applyFill="1" applyBorder="1"/>
    <xf numFmtId="0" fontId="9" fillId="7" borderId="31" xfId="0" applyFont="1" applyFill="1" applyBorder="1" applyAlignment="1">
      <alignment horizontal="right"/>
    </xf>
    <xf numFmtId="167" fontId="18" fillId="0" borderId="3" xfId="0" applyNumberFormat="1" applyFont="1" applyFill="1" applyBorder="1" applyAlignment="1">
      <alignment horizontal="center"/>
    </xf>
    <xf numFmtId="168" fontId="7" fillId="2" borderId="29" xfId="0" applyNumberFormat="1" applyFont="1" applyFill="1" applyBorder="1" applyAlignment="1" applyProtection="1">
      <alignment horizontal="center"/>
      <protection locked="0"/>
    </xf>
    <xf numFmtId="0" fontId="9" fillId="7" borderId="43" xfId="0" applyFont="1" applyFill="1" applyBorder="1"/>
    <xf numFmtId="0" fontId="10" fillId="7" borderId="44" xfId="0" applyFont="1" applyFill="1" applyBorder="1"/>
    <xf numFmtId="0" fontId="9" fillId="7" borderId="45" xfId="0" applyFont="1" applyFill="1" applyBorder="1" applyAlignment="1">
      <alignment horizontal="right"/>
    </xf>
    <xf numFmtId="39" fontId="14" fillId="0" borderId="3" xfId="0" applyNumberFormat="1" applyFont="1" applyFill="1" applyBorder="1" applyAlignment="1" applyProtection="1">
      <alignment horizontal="center"/>
    </xf>
    <xf numFmtId="39" fontId="18" fillId="0" borderId="3" xfId="0" applyNumberFormat="1" applyFont="1" applyFill="1" applyBorder="1" applyAlignment="1" applyProtection="1">
      <alignment horizontal="center"/>
    </xf>
    <xf numFmtId="0" fontId="14" fillId="0" borderId="0" xfId="0" applyFont="1" applyAlignment="1">
      <alignment horizontal="right"/>
    </xf>
    <xf numFmtId="0" fontId="14" fillId="0" borderId="0" xfId="0" applyFont="1"/>
    <xf numFmtId="167" fontId="14" fillId="3" borderId="3" xfId="0" applyNumberFormat="1" applyFont="1" applyFill="1" applyBorder="1" applyAlignment="1">
      <alignment horizontal="center"/>
    </xf>
    <xf numFmtId="0" fontId="17" fillId="3" borderId="8" xfId="0" applyFont="1" applyFill="1" applyBorder="1"/>
    <xf numFmtId="39" fontId="0" fillId="0" borderId="0" xfId="0" applyNumberFormat="1" applyAlignment="1">
      <alignment horizontal="left"/>
    </xf>
    <xf numFmtId="0" fontId="9" fillId="4" borderId="7" xfId="0" applyFont="1" applyFill="1" applyBorder="1" applyAlignment="1">
      <alignment horizontal="right"/>
    </xf>
    <xf numFmtId="0" fontId="0" fillId="4" borderId="8" xfId="0" applyFill="1" applyBorder="1"/>
    <xf numFmtId="2" fontId="0" fillId="0" borderId="0" xfId="0" applyNumberFormat="1"/>
    <xf numFmtId="0" fontId="14" fillId="3" borderId="8" xfId="0" applyFont="1" applyFill="1" applyBorder="1" applyAlignment="1">
      <alignment horizontal="left"/>
    </xf>
    <xf numFmtId="0" fontId="32" fillId="0" borderId="0" xfId="0" applyFont="1" applyBorder="1"/>
    <xf numFmtId="0" fontId="32" fillId="0" borderId="0" xfId="0" applyFont="1" applyBorder="1" applyAlignment="1" applyProtection="1">
      <alignment horizontal="left"/>
    </xf>
    <xf numFmtId="37" fontId="4" fillId="0" borderId="0" xfId="0" applyNumberFormat="1" applyFont="1" applyBorder="1" applyAlignment="1" applyProtection="1">
      <alignment horizontal="center"/>
      <protection locked="0"/>
    </xf>
    <xf numFmtId="0" fontId="14" fillId="3" borderId="7" xfId="0" applyFont="1" applyFill="1" applyBorder="1" applyAlignment="1">
      <alignment horizontal="left"/>
    </xf>
    <xf numFmtId="0" fontId="14" fillId="3" borderId="8" xfId="0" applyFont="1" applyFill="1" applyBorder="1" applyAlignment="1">
      <alignment horizontal="center"/>
    </xf>
    <xf numFmtId="39" fontId="9" fillId="5" borderId="21" xfId="0" applyNumberFormat="1" applyFont="1" applyFill="1" applyBorder="1" applyAlignment="1">
      <alignment horizontal="left"/>
    </xf>
    <xf numFmtId="39" fontId="24" fillId="5" borderId="21" xfId="0" applyNumberFormat="1" applyFont="1" applyFill="1" applyBorder="1" applyAlignment="1">
      <alignment horizontal="center"/>
    </xf>
    <xf numFmtId="168" fontId="24" fillId="5" borderId="8" xfId="0" applyNumberFormat="1" applyFont="1" applyFill="1" applyBorder="1" applyAlignment="1">
      <alignment horizontal="center"/>
    </xf>
    <xf numFmtId="39" fontId="24" fillId="5" borderId="46" xfId="0" applyNumberFormat="1" applyFont="1" applyFill="1" applyBorder="1" applyAlignment="1">
      <alignment horizontal="center"/>
    </xf>
    <xf numFmtId="39" fontId="24" fillId="5" borderId="47" xfId="0" applyNumberFormat="1" applyFont="1" applyFill="1" applyBorder="1" applyAlignment="1">
      <alignment horizontal="center"/>
    </xf>
    <xf numFmtId="39" fontId="24" fillId="5" borderId="25" xfId="0" applyNumberFormat="1" applyFont="1" applyFill="1" applyBorder="1" applyAlignment="1">
      <alignment horizontal="center"/>
    </xf>
    <xf numFmtId="0" fontId="14" fillId="8" borderId="7" xfId="0" applyFont="1" applyFill="1" applyBorder="1"/>
    <xf numFmtId="0" fontId="14" fillId="8" borderId="24" xfId="0" applyFont="1" applyFill="1" applyBorder="1"/>
    <xf numFmtId="0" fontId="17" fillId="8" borderId="25" xfId="0" applyFont="1" applyFill="1" applyBorder="1"/>
    <xf numFmtId="39" fontId="10" fillId="0" borderId="0" xfId="0" applyNumberFormat="1" applyFont="1"/>
    <xf numFmtId="0" fontId="17" fillId="5" borderId="8" xfId="0" applyFont="1" applyFill="1" applyBorder="1"/>
    <xf numFmtId="39" fontId="14" fillId="5" borderId="8" xfId="0" applyNumberFormat="1" applyFont="1" applyFill="1" applyBorder="1" applyAlignment="1">
      <alignment horizontal="right"/>
    </xf>
    <xf numFmtId="39" fontId="14" fillId="5" borderId="8" xfId="0" applyNumberFormat="1" applyFont="1" applyFill="1" applyBorder="1" applyAlignment="1">
      <alignment horizontal="left"/>
    </xf>
    <xf numFmtId="168" fontId="14" fillId="5" borderId="8" xfId="0" applyNumberFormat="1" applyFont="1" applyFill="1" applyBorder="1" applyAlignment="1">
      <alignment horizontal="left"/>
    </xf>
    <xf numFmtId="0" fontId="31" fillId="5" borderId="8" xfId="0" applyFont="1" applyFill="1" applyBorder="1" applyAlignment="1">
      <alignment horizontal="right"/>
    </xf>
    <xf numFmtId="0" fontId="14" fillId="8" borderId="32" xfId="0" applyFont="1" applyFill="1" applyBorder="1"/>
    <xf numFmtId="0" fontId="17" fillId="8" borderId="33" xfId="0" applyFont="1" applyFill="1" applyBorder="1"/>
    <xf numFmtId="39" fontId="14" fillId="8" borderId="33" xfId="0" applyNumberFormat="1" applyFont="1" applyFill="1" applyBorder="1" applyAlignment="1">
      <alignment horizontal="right"/>
    </xf>
    <xf numFmtId="39" fontId="14" fillId="8" borderId="33" xfId="0" applyNumberFormat="1" applyFont="1" applyFill="1" applyBorder="1" applyAlignment="1">
      <alignment horizontal="left"/>
    </xf>
    <xf numFmtId="0" fontId="14" fillId="8" borderId="33" xfId="0" applyFont="1" applyFill="1" applyBorder="1" applyAlignment="1">
      <alignment horizontal="left"/>
    </xf>
    <xf numFmtId="0" fontId="31" fillId="8" borderId="33" xfId="0" applyFont="1" applyFill="1" applyBorder="1" applyAlignment="1">
      <alignment horizontal="center"/>
    </xf>
    <xf numFmtId="39" fontId="14" fillId="8" borderId="29" xfId="0" applyNumberFormat="1" applyFont="1" applyFill="1" applyBorder="1" applyAlignment="1" applyProtection="1">
      <alignment horizontal="center"/>
      <protection locked="0"/>
    </xf>
    <xf numFmtId="0" fontId="14" fillId="8" borderId="1" xfId="0" applyFont="1" applyFill="1" applyBorder="1"/>
    <xf numFmtId="0" fontId="17" fillId="8" borderId="0" xfId="0" applyFont="1" applyFill="1" applyBorder="1"/>
    <xf numFmtId="0" fontId="17" fillId="8" borderId="29" xfId="0" applyFont="1" applyFill="1" applyBorder="1"/>
    <xf numFmtId="2" fontId="14" fillId="8" borderId="24" xfId="0" applyNumberFormat="1" applyFont="1" applyFill="1" applyBorder="1" applyAlignment="1">
      <alignment horizontal="right"/>
    </xf>
    <xf numFmtId="167" fontId="14" fillId="8" borderId="25" xfId="0" applyNumberFormat="1" applyFont="1" applyFill="1" applyBorder="1"/>
    <xf numFmtId="167" fontId="14" fillId="8" borderId="24" xfId="0" applyNumberFormat="1" applyFont="1" applyFill="1" applyBorder="1" applyAlignment="1">
      <alignment horizontal="right"/>
    </xf>
    <xf numFmtId="0" fontId="17" fillId="8" borderId="21" xfId="0" applyFont="1" applyFill="1" applyBorder="1"/>
    <xf numFmtId="0" fontId="10" fillId="8" borderId="9" xfId="0" applyFont="1" applyFill="1" applyBorder="1"/>
    <xf numFmtId="0" fontId="17" fillId="8" borderId="25" xfId="0" applyFont="1" applyFill="1" applyBorder="1" applyAlignment="1">
      <alignment horizontal="left"/>
    </xf>
    <xf numFmtId="0" fontId="14" fillId="8" borderId="24" xfId="0" applyFont="1" applyFill="1" applyBorder="1" applyAlignment="1">
      <alignment horizontal="right"/>
    </xf>
    <xf numFmtId="0" fontId="17" fillId="8" borderId="8" xfId="0" applyFont="1" applyFill="1" applyBorder="1" applyAlignment="1">
      <alignment horizontal="left"/>
    </xf>
    <xf numFmtId="0" fontId="14" fillId="8" borderId="7" xfId="0" applyFont="1" applyFill="1" applyBorder="1" applyAlignment="1">
      <alignment horizontal="right"/>
    </xf>
    <xf numFmtId="0" fontId="14" fillId="8" borderId="23" xfId="0" applyFont="1" applyFill="1" applyBorder="1"/>
    <xf numFmtId="0" fontId="17" fillId="8" borderId="21" xfId="0" applyFont="1" applyFill="1" applyBorder="1" applyAlignment="1">
      <alignment horizontal="left"/>
    </xf>
    <xf numFmtId="0" fontId="14" fillId="8" borderId="23" xfId="0" applyFont="1" applyFill="1" applyBorder="1" applyAlignment="1">
      <alignment horizontal="right"/>
    </xf>
    <xf numFmtId="0" fontId="14" fillId="8" borderId="41" xfId="0" applyFont="1" applyFill="1" applyBorder="1"/>
    <xf numFmtId="0" fontId="17" fillId="8" borderId="42" xfId="0" applyFont="1" applyFill="1" applyBorder="1" applyAlignment="1">
      <alignment horizontal="left"/>
    </xf>
    <xf numFmtId="0" fontId="14" fillId="8" borderId="41" xfId="0" applyFont="1" applyFill="1" applyBorder="1" applyAlignment="1">
      <alignment horizontal="right"/>
    </xf>
    <xf numFmtId="39" fontId="14" fillId="8" borderId="34" xfId="0" applyNumberFormat="1" applyFont="1" applyFill="1" applyBorder="1" applyAlignment="1" applyProtection="1">
      <alignment horizontal="center"/>
      <protection locked="0"/>
    </xf>
    <xf numFmtId="0" fontId="9" fillId="5" borderId="7" xfId="0" applyFont="1" applyFill="1" applyBorder="1" applyAlignment="1">
      <alignment horizontal="left"/>
    </xf>
    <xf numFmtId="0" fontId="9" fillId="5" borderId="9" xfId="0" applyFont="1" applyFill="1" applyBorder="1" applyAlignment="1">
      <alignment horizontal="right"/>
    </xf>
    <xf numFmtId="168" fontId="9" fillId="5" borderId="8" xfId="0" applyNumberFormat="1" applyFont="1" applyFill="1" applyBorder="1" applyAlignment="1">
      <alignment horizontal="left"/>
    </xf>
    <xf numFmtId="37" fontId="9" fillId="5" borderId="25" xfId="0" applyNumberFormat="1" applyFont="1" applyFill="1" applyBorder="1" applyAlignment="1">
      <alignment horizontal="left"/>
    </xf>
    <xf numFmtId="167" fontId="18" fillId="6" borderId="41" xfId="0" applyNumberFormat="1" applyFont="1" applyFill="1" applyBorder="1"/>
    <xf numFmtId="0" fontId="22" fillId="6" borderId="42" xfId="0" applyFont="1" applyFill="1" applyBorder="1"/>
    <xf numFmtId="167" fontId="18" fillId="6" borderId="31" xfId="0" applyNumberFormat="1" applyFont="1" applyFill="1" applyBorder="1"/>
    <xf numFmtId="0" fontId="18" fillId="6" borderId="7" xfId="0" applyFont="1" applyFill="1" applyBorder="1"/>
    <xf numFmtId="0" fontId="18" fillId="6" borderId="8" xfId="0" applyFont="1" applyFill="1" applyBorder="1" applyAlignment="1">
      <alignment horizontal="left"/>
    </xf>
    <xf numFmtId="0" fontId="18" fillId="6" borderId="8" xfId="0" applyFont="1" applyFill="1" applyBorder="1" applyAlignment="1">
      <alignment horizontal="center"/>
    </xf>
    <xf numFmtId="0" fontId="18" fillId="6" borderId="9" xfId="0" applyFont="1" applyFill="1" applyBorder="1" applyAlignment="1">
      <alignment horizontal="left"/>
    </xf>
    <xf numFmtId="0" fontId="10" fillId="5" borderId="0" xfId="0" applyFont="1" applyFill="1"/>
    <xf numFmtId="0" fontId="14" fillId="3" borderId="9" xfId="0" applyFont="1" applyFill="1" applyBorder="1" applyAlignment="1">
      <alignment horizontal="left"/>
    </xf>
    <xf numFmtId="0" fontId="17" fillId="3" borderId="9" xfId="0" applyFont="1" applyFill="1" applyBorder="1"/>
    <xf numFmtId="49" fontId="9" fillId="5" borderId="48" xfId="0" applyNumberFormat="1" applyFont="1" applyFill="1" applyBorder="1" applyAlignment="1">
      <alignment horizontal="center"/>
    </xf>
    <xf numFmtId="0" fontId="9" fillId="4" borderId="23" xfId="0" applyFont="1" applyFill="1" applyBorder="1" applyAlignment="1">
      <alignment horizontal="center"/>
    </xf>
    <xf numFmtId="0" fontId="10" fillId="5" borderId="14" xfId="0" applyFont="1" applyFill="1" applyBorder="1"/>
    <xf numFmtId="168" fontId="14" fillId="5" borderId="8" xfId="0" applyNumberFormat="1" applyFont="1" applyFill="1" applyBorder="1" applyAlignment="1">
      <alignment horizontal="center"/>
    </xf>
    <xf numFmtId="167" fontId="0" fillId="0" borderId="0" xfId="0" applyNumberFormat="1" applyAlignment="1">
      <alignment horizontal="center"/>
    </xf>
    <xf numFmtId="167" fontId="14" fillId="3" borderId="0" xfId="0" applyNumberFormat="1" applyFont="1" applyFill="1" applyBorder="1" applyAlignment="1">
      <alignment horizontal="center"/>
    </xf>
    <xf numFmtId="173" fontId="0" fillId="0" borderId="0" xfId="0" applyNumberFormat="1" applyAlignment="1">
      <alignment horizontal="center"/>
    </xf>
    <xf numFmtId="172" fontId="1" fillId="3" borderId="3" xfId="0" applyNumberFormat="1" applyFont="1" applyFill="1" applyBorder="1" applyAlignment="1">
      <alignment horizontal="center"/>
    </xf>
    <xf numFmtId="0" fontId="20" fillId="0" borderId="0" xfId="0" applyFont="1"/>
    <xf numFmtId="167" fontId="18" fillId="0" borderId="0" xfId="0" applyNumberFormat="1" applyFont="1" applyFill="1" applyBorder="1"/>
    <xf numFmtId="39" fontId="24" fillId="5" borderId="22" xfId="0" applyNumberFormat="1" applyFont="1" applyFill="1" applyBorder="1" applyAlignment="1">
      <alignment horizontal="center"/>
    </xf>
    <xf numFmtId="172" fontId="14" fillId="5" borderId="9" xfId="0" applyNumberFormat="1" applyFont="1" applyFill="1" applyBorder="1" applyAlignment="1">
      <alignment horizontal="center"/>
    </xf>
    <xf numFmtId="2" fontId="14" fillId="5" borderId="9" xfId="0" applyNumberFormat="1" applyFont="1" applyFill="1" applyBorder="1" applyAlignment="1">
      <alignment horizontal="center"/>
    </xf>
    <xf numFmtId="167" fontId="24" fillId="5" borderId="9" xfId="0" applyNumberFormat="1" applyFont="1" applyFill="1" applyBorder="1" applyAlignment="1">
      <alignment horizontal="center"/>
    </xf>
    <xf numFmtId="2" fontId="14" fillId="5" borderId="25" xfId="0" applyNumberFormat="1" applyFont="1" applyFill="1" applyBorder="1" applyAlignment="1">
      <alignment horizontal="center"/>
    </xf>
    <xf numFmtId="0" fontId="9" fillId="5" borderId="23" xfId="0" applyFont="1" applyFill="1" applyBorder="1"/>
    <xf numFmtId="0" fontId="10" fillId="5" borderId="21" xfId="0" applyFont="1" applyFill="1" applyBorder="1"/>
    <xf numFmtId="0" fontId="9" fillId="5" borderId="21" xfId="0" applyFont="1" applyFill="1" applyBorder="1" applyAlignment="1">
      <alignment horizontal="right"/>
    </xf>
    <xf numFmtId="168" fontId="24" fillId="5" borderId="21" xfId="0" applyNumberFormat="1" applyFont="1" applyFill="1" applyBorder="1" applyAlignment="1">
      <alignment horizontal="center"/>
    </xf>
    <xf numFmtId="0" fontId="9" fillId="5" borderId="21" xfId="0" applyFont="1" applyFill="1" applyBorder="1" applyAlignment="1">
      <alignment horizontal="center"/>
    </xf>
    <xf numFmtId="168" fontId="9" fillId="5" borderId="8" xfId="0" applyNumberFormat="1" applyFont="1" applyFill="1" applyBorder="1" applyAlignment="1">
      <alignment horizontal="right"/>
    </xf>
    <xf numFmtId="168" fontId="9" fillId="5" borderId="9" xfId="0" applyNumberFormat="1" applyFont="1" applyFill="1" applyBorder="1" applyAlignment="1">
      <alignment horizontal="right"/>
    </xf>
    <xf numFmtId="167" fontId="9" fillId="4" borderId="3" xfId="0" applyNumberFormat="1" applyFont="1" applyFill="1" applyBorder="1" applyAlignment="1">
      <alignment horizontal="center"/>
    </xf>
    <xf numFmtId="172" fontId="9" fillId="3" borderId="0" xfId="0" applyNumberFormat="1" applyFont="1" applyFill="1" applyBorder="1" applyAlignment="1" applyProtection="1">
      <alignment horizontal="center"/>
      <protection hidden="1"/>
    </xf>
    <xf numFmtId="167" fontId="1" fillId="3" borderId="7" xfId="0" applyNumberFormat="1" applyFont="1" applyFill="1" applyBorder="1" applyAlignment="1">
      <alignment horizontal="center"/>
    </xf>
    <xf numFmtId="39" fontId="14" fillId="0" borderId="0" xfId="0" applyNumberFormat="1" applyFont="1" applyBorder="1" applyAlignment="1">
      <alignment horizontal="left"/>
    </xf>
    <xf numFmtId="39" fontId="14" fillId="0" borderId="49" xfId="0" applyNumberFormat="1" applyFont="1" applyBorder="1" applyAlignment="1">
      <alignment horizontal="left"/>
    </xf>
    <xf numFmtId="0" fontId="0" fillId="0" borderId="50" xfId="0" applyBorder="1"/>
    <xf numFmtId="0" fontId="0" fillId="0" borderId="51" xfId="0" applyBorder="1"/>
    <xf numFmtId="39" fontId="14" fillId="0" borderId="52" xfId="0" applyNumberFormat="1" applyFont="1" applyBorder="1" applyAlignment="1">
      <alignment horizontal="left"/>
    </xf>
    <xf numFmtId="0" fontId="0" fillId="0" borderId="53" xfId="0" applyBorder="1"/>
    <xf numFmtId="0" fontId="0" fillId="0" borderId="54" xfId="0" applyBorder="1"/>
    <xf numFmtId="172" fontId="1" fillId="3" borderId="7" xfId="0" applyNumberFormat="1" applyFont="1" applyFill="1" applyBorder="1" applyAlignment="1">
      <alignment horizontal="center"/>
    </xf>
    <xf numFmtId="167" fontId="18" fillId="3" borderId="23" xfId="0" applyNumberFormat="1" applyFont="1" applyFill="1" applyBorder="1" applyAlignment="1">
      <alignment horizontal="center"/>
    </xf>
    <xf numFmtId="39" fontId="18" fillId="0" borderId="55" xfId="0" applyNumberFormat="1" applyFont="1" applyBorder="1" applyAlignment="1">
      <alignment horizontal="left"/>
    </xf>
    <xf numFmtId="0" fontId="0" fillId="0" borderId="56" xfId="0" applyBorder="1"/>
    <xf numFmtId="0" fontId="0" fillId="0" borderId="57" xfId="0" applyBorder="1"/>
    <xf numFmtId="167" fontId="14" fillId="3" borderId="7" xfId="0" applyNumberFormat="1" applyFont="1" applyFill="1" applyBorder="1" applyAlignment="1">
      <alignment horizontal="center"/>
    </xf>
    <xf numFmtId="0" fontId="14" fillId="0" borderId="55" xfId="0" applyFont="1" applyBorder="1"/>
    <xf numFmtId="2" fontId="14" fillId="3" borderId="7" xfId="0" applyNumberFormat="1" applyFont="1" applyFill="1" applyBorder="1" applyAlignment="1">
      <alignment horizontal="center"/>
    </xf>
    <xf numFmtId="0" fontId="18" fillId="0" borderId="49" xfId="0" applyFont="1" applyBorder="1"/>
    <xf numFmtId="0" fontId="18" fillId="0" borderId="52" xfId="0" applyFont="1" applyBorder="1"/>
    <xf numFmtId="39" fontId="7" fillId="2" borderId="7" xfId="0" applyNumberFormat="1" applyFont="1" applyFill="1" applyBorder="1" applyAlignment="1" applyProtection="1">
      <alignment horizontal="center"/>
      <protection locked="0"/>
    </xf>
    <xf numFmtId="0" fontId="18" fillId="0" borderId="55" xfId="0" applyFont="1" applyBorder="1"/>
    <xf numFmtId="0" fontId="0" fillId="0" borderId="56" xfId="0" applyBorder="1" applyAlignment="1">
      <alignment horizontal="right"/>
    </xf>
    <xf numFmtId="167" fontId="14" fillId="0" borderId="7" xfId="0" applyNumberFormat="1" applyFont="1" applyFill="1" applyBorder="1" applyAlignment="1">
      <alignment horizontal="center"/>
    </xf>
    <xf numFmtId="2" fontId="14" fillId="0" borderId="7" xfId="0" applyNumberFormat="1" applyFont="1" applyFill="1" applyBorder="1" applyAlignment="1">
      <alignment horizontal="center"/>
    </xf>
    <xf numFmtId="0" fontId="14" fillId="0" borderId="58" xfId="0" applyFont="1" applyBorder="1"/>
    <xf numFmtId="0" fontId="0" fillId="0" borderId="59" xfId="0" applyBorder="1"/>
    <xf numFmtId="172" fontId="0" fillId="0" borderId="0" xfId="0" applyNumberFormat="1" applyAlignment="1">
      <alignment horizontal="center"/>
    </xf>
    <xf numFmtId="0" fontId="19" fillId="0" borderId="0" xfId="2" applyBorder="1" applyAlignment="1" applyProtection="1"/>
    <xf numFmtId="0" fontId="0" fillId="0" borderId="0" xfId="0" applyFill="1" applyBorder="1"/>
    <xf numFmtId="0" fontId="1" fillId="0" borderId="0" xfId="0" applyFont="1" applyFill="1" applyBorder="1"/>
    <xf numFmtId="0" fontId="11" fillId="0" borderId="0" xfId="0" applyFont="1" applyFill="1" applyBorder="1"/>
    <xf numFmtId="0" fontId="11" fillId="4" borderId="0" xfId="0" applyFont="1" applyFill="1" applyBorder="1"/>
    <xf numFmtId="0" fontId="11" fillId="4" borderId="0" xfId="0" applyFont="1" applyFill="1" applyBorder="1" applyAlignment="1" applyProtection="1">
      <alignment horizontal="left"/>
    </xf>
    <xf numFmtId="37" fontId="34" fillId="4" borderId="0" xfId="0" applyNumberFormat="1" applyFont="1" applyFill="1" applyBorder="1" applyAlignment="1" applyProtection="1">
      <alignment horizontal="center"/>
      <protection locked="0"/>
    </xf>
    <xf numFmtId="167" fontId="9" fillId="4" borderId="0" xfId="0" applyNumberFormat="1" applyFont="1" applyFill="1" applyBorder="1" applyAlignment="1">
      <alignment horizontal="center"/>
    </xf>
    <xf numFmtId="0" fontId="11" fillId="4" borderId="23" xfId="0" applyFont="1" applyFill="1" applyBorder="1"/>
    <xf numFmtId="0" fontId="11" fillId="4" borderId="21" xfId="0" applyFont="1" applyFill="1" applyBorder="1" applyAlignment="1" applyProtection="1">
      <alignment horizontal="left"/>
    </xf>
    <xf numFmtId="0" fontId="11" fillId="4" borderId="21" xfId="0" applyFont="1" applyFill="1" applyBorder="1"/>
    <xf numFmtId="37" fontId="34" fillId="4" borderId="21" xfId="0" applyNumberFormat="1" applyFont="1" applyFill="1" applyBorder="1" applyAlignment="1" applyProtection="1">
      <alignment horizontal="center"/>
      <protection locked="0"/>
    </xf>
    <xf numFmtId="167" fontId="9" fillId="4" borderId="21" xfId="0" applyNumberFormat="1" applyFont="1" applyFill="1" applyBorder="1" applyAlignment="1">
      <alignment horizontal="center"/>
    </xf>
    <xf numFmtId="0" fontId="11" fillId="4" borderId="22" xfId="0" applyFont="1" applyFill="1" applyBorder="1"/>
    <xf numFmtId="0" fontId="11" fillId="4" borderId="1" xfId="0" applyFont="1" applyFill="1" applyBorder="1"/>
    <xf numFmtId="0" fontId="11" fillId="4" borderId="48" xfId="0" applyFont="1" applyFill="1" applyBorder="1"/>
    <xf numFmtId="0" fontId="11" fillId="0" borderId="0" xfId="0" applyFont="1" applyFill="1" applyBorder="1" applyAlignment="1" applyProtection="1">
      <alignment horizontal="left"/>
    </xf>
    <xf numFmtId="37" fontId="34" fillId="0" borderId="0" xfId="0" applyNumberFormat="1" applyFont="1" applyFill="1" applyBorder="1" applyAlignment="1" applyProtection="1">
      <alignment horizontal="center"/>
      <protection locked="0"/>
    </xf>
    <xf numFmtId="167" fontId="9" fillId="0" borderId="0" xfId="0" applyNumberFormat="1" applyFont="1" applyFill="1" applyBorder="1" applyAlignment="1">
      <alignment horizontal="center"/>
    </xf>
    <xf numFmtId="0" fontId="14" fillId="0" borderId="0" xfId="0" applyFont="1" applyFill="1" applyBorder="1"/>
    <xf numFmtId="167" fontId="14" fillId="0" borderId="0" xfId="0" applyNumberFormat="1" applyFont="1" applyFill="1" applyBorder="1" applyAlignment="1">
      <alignment horizontal="center"/>
    </xf>
    <xf numFmtId="0" fontId="14" fillId="0" borderId="0" xfId="0" applyFont="1" applyFill="1" applyBorder="1" applyAlignment="1">
      <alignment horizontal="left"/>
    </xf>
    <xf numFmtId="2" fontId="14" fillId="0" borderId="0" xfId="0" applyNumberFormat="1" applyFont="1" applyFill="1" applyBorder="1" applyAlignment="1">
      <alignment horizontal="center"/>
    </xf>
    <xf numFmtId="172"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17" fillId="0" borderId="0" xfId="0" applyFont="1" applyFill="1" applyBorder="1" applyAlignment="1">
      <alignment horizontal="left"/>
    </xf>
    <xf numFmtId="167" fontId="14" fillId="0" borderId="0" xfId="0" applyNumberFormat="1" applyFont="1" applyFill="1" applyBorder="1"/>
    <xf numFmtId="0" fontId="14" fillId="0" borderId="0" xfId="0" applyFont="1" applyFill="1" applyBorder="1" applyAlignment="1">
      <alignment horizontal="right"/>
    </xf>
    <xf numFmtId="39" fontId="14" fillId="0" borderId="0" xfId="0" applyNumberFormat="1" applyFont="1" applyFill="1" applyBorder="1" applyAlignment="1" applyProtection="1">
      <alignment horizontal="center"/>
      <protection locked="0"/>
    </xf>
    <xf numFmtId="0" fontId="17" fillId="0" borderId="0" xfId="0" applyFont="1" applyFill="1" applyBorder="1" applyAlignment="1">
      <alignment horizontal="center"/>
    </xf>
    <xf numFmtId="2" fontId="14" fillId="0" borderId="0" xfId="0" applyNumberFormat="1" applyFont="1" applyFill="1" applyBorder="1" applyAlignment="1">
      <alignment horizontal="right"/>
    </xf>
    <xf numFmtId="168" fontId="14" fillId="0" borderId="0" xfId="0" applyNumberFormat="1" applyFont="1" applyFill="1" applyBorder="1" applyAlignment="1">
      <alignment horizontal="center"/>
    </xf>
    <xf numFmtId="39" fontId="14" fillId="0" borderId="0" xfId="0" applyNumberFormat="1" applyFont="1" applyFill="1" applyBorder="1" applyAlignment="1">
      <alignment horizontal="right"/>
    </xf>
    <xf numFmtId="168" fontId="14" fillId="0" borderId="0" xfId="0" applyNumberFormat="1" applyFont="1" applyFill="1" applyBorder="1" applyAlignment="1" applyProtection="1">
      <alignment horizontal="center"/>
      <protection locked="0"/>
    </xf>
    <xf numFmtId="167" fontId="14" fillId="0" borderId="60" xfId="0" applyNumberFormat="1" applyFont="1" applyFill="1" applyBorder="1" applyAlignment="1">
      <alignment horizontal="center"/>
    </xf>
    <xf numFmtId="167" fontId="14" fillId="0" borderId="18" xfId="0" applyNumberFormat="1" applyFont="1" applyFill="1" applyBorder="1" applyAlignment="1">
      <alignment horizontal="center"/>
    </xf>
    <xf numFmtId="167" fontId="14" fillId="0" borderId="20" xfId="0" applyNumberFormat="1" applyFont="1" applyFill="1" applyBorder="1" applyAlignment="1">
      <alignment horizontal="center"/>
    </xf>
    <xf numFmtId="0" fontId="9" fillId="5" borderId="22" xfId="0" applyFont="1" applyFill="1" applyBorder="1" applyAlignment="1">
      <alignment horizontal="center"/>
    </xf>
    <xf numFmtId="0" fontId="9" fillId="5" borderId="48" xfId="0" applyFont="1" applyFill="1" applyBorder="1" applyAlignment="1">
      <alignment horizontal="center"/>
    </xf>
    <xf numFmtId="0" fontId="9" fillId="5" borderId="29" xfId="0" applyFont="1" applyFill="1" applyBorder="1" applyAlignment="1">
      <alignment horizontal="center"/>
    </xf>
    <xf numFmtId="0" fontId="15" fillId="4" borderId="23" xfId="0" applyFont="1" applyFill="1" applyBorder="1" applyAlignment="1">
      <alignment horizontal="center"/>
    </xf>
    <xf numFmtId="0" fontId="15" fillId="4" borderId="1" xfId="0" applyFont="1" applyFill="1" applyBorder="1" applyAlignment="1">
      <alignment horizontal="center"/>
    </xf>
    <xf numFmtId="0" fontId="9" fillId="4" borderId="8" xfId="0" applyFont="1" applyFill="1" applyBorder="1"/>
    <xf numFmtId="172" fontId="9" fillId="4" borderId="8" xfId="0" applyNumberFormat="1" applyFont="1" applyFill="1" applyBorder="1" applyAlignment="1" applyProtection="1">
      <alignment horizontal="center"/>
      <protection hidden="1"/>
    </xf>
    <xf numFmtId="39" fontId="9" fillId="4" borderId="9" xfId="0" applyNumberFormat="1" applyFont="1" applyFill="1" applyBorder="1" applyAlignment="1">
      <alignment horizontal="left"/>
    </xf>
    <xf numFmtId="167" fontId="7" fillId="2" borderId="61" xfId="0" applyNumberFormat="1" applyFont="1" applyFill="1" applyBorder="1" applyAlignment="1" applyProtection="1">
      <alignment horizontal="center"/>
      <protection locked="0"/>
    </xf>
    <xf numFmtId="167" fontId="28" fillId="2" borderId="61" xfId="0" applyNumberFormat="1" applyFont="1" applyFill="1" applyBorder="1" applyAlignment="1" applyProtection="1">
      <alignment horizontal="center"/>
      <protection locked="0"/>
    </xf>
    <xf numFmtId="167" fontId="7" fillId="2" borderId="62" xfId="0" applyNumberFormat="1" applyFont="1" applyFill="1" applyBorder="1" applyAlignment="1" applyProtection="1">
      <alignment horizontal="center"/>
      <protection locked="0"/>
    </xf>
    <xf numFmtId="167" fontId="14" fillId="0" borderId="60" xfId="0" applyNumberFormat="1" applyFont="1" applyBorder="1" applyAlignment="1">
      <alignment horizontal="center"/>
    </xf>
    <xf numFmtId="167" fontId="17" fillId="0" borderId="18" xfId="0" applyNumberFormat="1" applyFont="1" applyBorder="1" applyAlignment="1">
      <alignment horizontal="center"/>
    </xf>
    <xf numFmtId="167" fontId="14" fillId="0" borderId="18" xfId="0" applyNumberFormat="1" applyFont="1" applyBorder="1" applyAlignment="1">
      <alignment horizontal="center"/>
    </xf>
    <xf numFmtId="167" fontId="14" fillId="0" borderId="20" xfId="0" applyNumberFormat="1" applyFont="1" applyBorder="1" applyAlignment="1">
      <alignment horizontal="center"/>
    </xf>
    <xf numFmtId="0" fontId="9" fillId="9" borderId="3" xfId="0" applyFont="1" applyFill="1" applyBorder="1" applyAlignment="1">
      <alignment horizontal="center"/>
    </xf>
    <xf numFmtId="0" fontId="19" fillId="0" borderId="0" xfId="2" applyAlignment="1" applyProtection="1"/>
    <xf numFmtId="0" fontId="9" fillId="5" borderId="1" xfId="0" applyFont="1" applyFill="1" applyBorder="1" applyAlignment="1">
      <alignment horizontal="center"/>
    </xf>
    <xf numFmtId="0" fontId="9" fillId="5" borderId="24" xfId="0" applyFont="1" applyFill="1" applyBorder="1" applyAlignment="1">
      <alignment horizontal="center"/>
    </xf>
    <xf numFmtId="0" fontId="25" fillId="0" borderId="1" xfId="0" applyFont="1" applyFill="1" applyBorder="1" applyAlignment="1">
      <alignment horizontal="left"/>
    </xf>
    <xf numFmtId="167" fontId="7" fillId="2" borderId="63" xfId="0" applyNumberFormat="1" applyFont="1" applyFill="1" applyBorder="1" applyAlignment="1" applyProtection="1">
      <alignment horizontal="center"/>
      <protection locked="0"/>
    </xf>
    <xf numFmtId="0" fontId="7" fillId="3" borderId="0" xfId="0" applyFont="1" applyFill="1" applyBorder="1"/>
    <xf numFmtId="0" fontId="7" fillId="3" borderId="1" xfId="0" applyFont="1" applyFill="1" applyBorder="1"/>
    <xf numFmtId="0" fontId="28" fillId="3" borderId="48" xfId="0" applyFont="1" applyFill="1" applyBorder="1"/>
    <xf numFmtId="167" fontId="7" fillId="3" borderId="0" xfId="0" applyNumberFormat="1" applyFont="1" applyFill="1" applyBorder="1"/>
    <xf numFmtId="0" fontId="7" fillId="3" borderId="48" xfId="0" applyFont="1" applyFill="1" applyBorder="1"/>
    <xf numFmtId="0" fontId="7" fillId="3" borderId="21" xfId="0" applyFont="1" applyFill="1" applyBorder="1"/>
    <xf numFmtId="0" fontId="7" fillId="3" borderId="24" xfId="0" applyFont="1" applyFill="1" applyBorder="1"/>
    <xf numFmtId="0" fontId="7" fillId="3" borderId="25" xfId="0" applyFont="1" applyFill="1" applyBorder="1"/>
    <xf numFmtId="167" fontId="7" fillId="3" borderId="25" xfId="0" applyNumberFormat="1" applyFont="1" applyFill="1" applyBorder="1"/>
    <xf numFmtId="0" fontId="7" fillId="3" borderId="29" xfId="0" applyFont="1" applyFill="1" applyBorder="1"/>
    <xf numFmtId="0" fontId="28" fillId="3" borderId="25" xfId="0" applyFont="1" applyFill="1" applyBorder="1"/>
    <xf numFmtId="0" fontId="28" fillId="3" borderId="29" xfId="0" applyFont="1" applyFill="1" applyBorder="1"/>
    <xf numFmtId="0" fontId="28" fillId="3" borderId="22" xfId="0" applyFont="1" applyFill="1" applyBorder="1"/>
    <xf numFmtId="167" fontId="18" fillId="3" borderId="48" xfId="0" applyNumberFormat="1" applyFont="1" applyFill="1" applyBorder="1" applyAlignment="1">
      <alignment horizontal="center"/>
    </xf>
    <xf numFmtId="0" fontId="9" fillId="0" borderId="23" xfId="0" applyFont="1" applyFill="1" applyBorder="1"/>
    <xf numFmtId="0" fontId="11" fillId="0" borderId="21" xfId="0" applyFont="1" applyFill="1" applyBorder="1"/>
    <xf numFmtId="167" fontId="9" fillId="0" borderId="21" xfId="0" applyNumberFormat="1" applyFont="1" applyFill="1" applyBorder="1" applyAlignment="1">
      <alignment horizontal="center"/>
    </xf>
    <xf numFmtId="0" fontId="0" fillId="0" borderId="21" xfId="0" applyBorder="1"/>
    <xf numFmtId="0" fontId="0" fillId="0" borderId="22" xfId="0" applyBorder="1"/>
    <xf numFmtId="0" fontId="9" fillId="9" borderId="64" xfId="0" applyFont="1" applyFill="1" applyBorder="1" applyAlignment="1">
      <alignment horizontal="center"/>
    </xf>
    <xf numFmtId="0" fontId="15" fillId="9" borderId="64" xfId="0" applyFont="1" applyFill="1" applyBorder="1" applyAlignment="1">
      <alignment horizontal="center"/>
    </xf>
    <xf numFmtId="0" fontId="9" fillId="9" borderId="65" xfId="0" applyFont="1" applyFill="1" applyBorder="1" applyAlignment="1">
      <alignment horizontal="center"/>
    </xf>
    <xf numFmtId="0" fontId="9" fillId="9" borderId="12" xfId="0" applyFont="1" applyFill="1" applyBorder="1" applyAlignment="1">
      <alignment horizontal="center"/>
    </xf>
    <xf numFmtId="0" fontId="9" fillId="9" borderId="14" xfId="0" applyFont="1" applyFill="1" applyBorder="1" applyAlignment="1">
      <alignment horizontal="center"/>
    </xf>
    <xf numFmtId="0" fontId="9" fillId="9" borderId="16" xfId="0" applyFont="1" applyFill="1" applyBorder="1" applyAlignment="1">
      <alignment horizontal="center"/>
    </xf>
    <xf numFmtId="167" fontId="14" fillId="0" borderId="63" xfId="0" applyNumberFormat="1" applyFont="1" applyBorder="1" applyAlignment="1">
      <alignment horizontal="center"/>
    </xf>
  </cellXfs>
  <cellStyles count="3">
    <cellStyle name="Comma" xfId="1" builtinId="3"/>
    <cellStyle name="Hyperlink" xfId="2" builtinId="8"/>
    <cellStyle name="Normal" xfId="0" builtinId="0"/>
  </cellStyles>
  <dxfs count="15">
    <dxf>
      <font>
        <condense val="0"/>
        <extend val="0"/>
        <color indexed="10"/>
      </font>
    </dxf>
    <dxf>
      <font>
        <b/>
        <i val="0"/>
        <condense val="0"/>
        <extend val="0"/>
        <color indexed="10"/>
      </font>
    </dxf>
    <dxf>
      <font>
        <b/>
        <i val="0"/>
        <condense val="0"/>
        <extend val="0"/>
        <color indexed="9"/>
      </font>
      <fill>
        <patternFill>
          <bgColor indexed="10"/>
        </patternFill>
      </fill>
    </dxf>
    <dxf>
      <font>
        <condense val="0"/>
        <extend val="0"/>
        <color indexed="8"/>
      </font>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10"/>
      </font>
    </dxf>
    <dxf>
      <font>
        <b/>
        <i val="0"/>
        <condense val="0"/>
        <extend val="0"/>
        <color indexed="8"/>
      </font>
    </dxf>
    <dxf>
      <font>
        <b/>
        <i val="0"/>
        <condense val="0"/>
        <extend val="0"/>
        <color indexed="8"/>
      </font>
    </dxf>
    <dxf>
      <font>
        <b/>
        <i val="0"/>
        <condense val="0"/>
        <extend val="0"/>
        <color indexed="10"/>
      </font>
    </dxf>
    <dxf>
      <font>
        <b/>
        <i val="0"/>
        <condense val="0"/>
        <extend val="0"/>
        <color indexed="8"/>
      </font>
    </dxf>
    <dxf>
      <font>
        <b/>
        <i val="0"/>
        <condense val="0"/>
        <extend val="0"/>
        <color indexed="8"/>
      </font>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857250</xdr:colOff>
      <xdr:row>189</xdr:row>
      <xdr:rowOff>25400</xdr:rowOff>
    </xdr:from>
    <xdr:to>
      <xdr:col>15</xdr:col>
      <xdr:colOff>0</xdr:colOff>
      <xdr:row>200</xdr:row>
      <xdr:rowOff>88900</xdr:rowOff>
    </xdr:to>
    <xdr:sp macro="" textlink="">
      <xdr:nvSpPr>
        <xdr:cNvPr id="1035" name="Text 11">
          <a:extLst>
            <a:ext uri="{FF2B5EF4-FFF2-40B4-BE49-F238E27FC236}">
              <a16:creationId xmlns:a16="http://schemas.microsoft.com/office/drawing/2014/main" id="{40488D23-83CC-495D-924F-D1E8EB169070}"/>
            </a:ext>
          </a:extLst>
        </xdr:cNvPr>
        <xdr:cNvSpPr txBox="1">
          <a:spLocks noChangeArrowheads="1"/>
        </xdr:cNvSpPr>
      </xdr:nvSpPr>
      <xdr:spPr bwMode="auto">
        <a:xfrm>
          <a:off x="7493000" y="31921450"/>
          <a:ext cx="4946650" cy="193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your subject is closer than the Near Sharp calculated for the aperture you want to use, you can back away from the subject (and crop later) to increase DoF.   To use this table, specify the distance to the Nearest Subject, then read in Column J how much you should back up to place the subject at the Near Sharp shown in Column F, for the aperture you want to use.  Back up that many feet, but remain focused at the indicated Hyperfocal Distance for that aperture.   Doubling your distance to the nearest subject is equivalent to a two-stop increase in DoF, after cropping to restore the original composition.   (See Note 8)</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17</xdr:col>
      <xdr:colOff>12700</xdr:colOff>
      <xdr:row>189</xdr:row>
      <xdr:rowOff>19050</xdr:rowOff>
    </xdr:from>
    <xdr:to>
      <xdr:col>21</xdr:col>
      <xdr:colOff>57150</xdr:colOff>
      <xdr:row>200</xdr:row>
      <xdr:rowOff>101600</xdr:rowOff>
    </xdr:to>
    <xdr:sp macro="" textlink="">
      <xdr:nvSpPr>
        <xdr:cNvPr id="1036" name="Text 12">
          <a:extLst>
            <a:ext uri="{FF2B5EF4-FFF2-40B4-BE49-F238E27FC236}">
              <a16:creationId xmlns:a16="http://schemas.microsoft.com/office/drawing/2014/main" id="{9CD280B3-4023-40A3-AA44-2DC9564A5854}"/>
            </a:ext>
          </a:extLst>
        </xdr:cNvPr>
        <xdr:cNvSpPr txBox="1">
          <a:spLocks noChangeArrowheads="1"/>
        </xdr:cNvSpPr>
      </xdr:nvSpPr>
      <xdr:spPr bwMode="auto">
        <a:xfrm>
          <a:off x="13893800" y="31915100"/>
          <a:ext cx="4076700" cy="195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your subject is closer than the Near Sharp calculated for the aperture you want to use, you can decrease your focal length (and crop later) to increase DoF.   To use the table above, specify the distance to the Nearest Subject, then read in Column Q which focal length you should use to have sufficient Depth of Field at the aperture you want to use.  Switch to the closest lens you have to that focal length and refocus, using your DoF tables for the shorter lens.  Halving the focal length is equivalent to a two-stop increase in DoF, after cropping to restore the original composition.   (See Note 8)</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120650</xdr:rowOff>
    </xdr:from>
    <xdr:to>
      <xdr:col>11</xdr:col>
      <xdr:colOff>0</xdr:colOff>
      <xdr:row>58</xdr:row>
      <xdr:rowOff>19050</xdr:rowOff>
    </xdr:to>
    <xdr:sp macro="" textlink="">
      <xdr:nvSpPr>
        <xdr:cNvPr id="10241" name="Text 9">
          <a:extLst>
            <a:ext uri="{FF2B5EF4-FFF2-40B4-BE49-F238E27FC236}">
              <a16:creationId xmlns:a16="http://schemas.microsoft.com/office/drawing/2014/main" id="{E3A74908-8A50-41BE-8F27-AD8B9278F56F}"/>
            </a:ext>
          </a:extLst>
        </xdr:cNvPr>
        <xdr:cNvSpPr txBox="1">
          <a:spLocks noChangeArrowheads="1"/>
        </xdr:cNvSpPr>
      </xdr:nvSpPr>
      <xdr:spPr bwMode="auto">
        <a:xfrm>
          <a:off x="609600" y="1231900"/>
          <a:ext cx="6096000" cy="800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8:</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These two tables are included in this spreadsheet only for the purpose of illustrating the principles behind increasing DoF by increasing subject distance or decreasing focal length.  The following text includes an easier way to implement these strategies.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There are only a handful of ways to increase DoF in the field, but perhaps the least intuitive is to simply back away from your subject (or go up and back, if you can.)  If the closest part of your subject is beyond the Near Sharp distance, all you have to do is back away until that subject is at or just beyond the calculated Near Sharp for the aperture you want to use.  Leave the focus at the calculated hyperfocal distance.  Now all of your subject will be sharp, but your field of view  will include more than you originally intended.  No problem - just crop when you print.  This will increase the magnification of film grain and impact the tonality and acutance of the final image, but when you make the same size print from a smaller portion of the negative, you will find that cropping only removed some of the DoF gained by increasing the camera's distance to the nearest subject.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illustrates the principle well:  If you increase the subject distance by a factor of three, you will be increasing DoF by a factor of 9.  Cropping to restore the original perspective will reduce the DoF by a factor of 3, leaving a net INCREASE in DoF equaling a factor of 3.  Typically, you would only want to back up small amounts, but many would agree that an increase in grain is  more tolerable by far than insufficient DoF and/or insufficient shutter speed.  Then again, there are some who have no tolerance for grain, preferring films like Fuji's Provia F 100, with half the grain of Fuji's Velvia, even though Velvia's resolution and sharpness (MTF) are far superior.  You can decide in the field how far you want to go with this.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When you back up to increase the distance to the nearest subject, until it falls at the calculated Near Sharp distance for the aperture you want to use, keep in mind that doubling the subject distance will require magnifying the negative twice as much to make a print of a given size.  When you've decided how much cropping you are willing to tolerate, do not refocus as you back up - leave it at the calculated hyperfocal distance for that aperture.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You can also employ this technique to gain the required DoF at a wider aperture.  Why?  To achieve the shutter speed you need to freeze subject motion.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Allowing twice the grain permits you to open up two stops - quadrupling your shutter speed by extracting your image from only half of the full frame.  Consider this:  If you loaded a faster film instead, wouldn't you suffer some loss of quality?  Note that there will be a change in perspective - in the relationship between subjects.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Changing to a shorter focal length lens can increase DoF without altering this relationship.  To illustrate this, consider shooting with a 50mm lens on a 35mm SLR, with the lens inserted through a three-inch hole in a construction fence.  You have decided that the angle of view of your 50mm lens frames your construction scene nicely, but you need more DoF than can be achieved at the  aperture you have decided will give you adequate shutter speed.  If you were to back away, you would end up with a picture of a fence with a hole in it.  Changing to a shorter focal length will produce the original image with a wider angle of view that can be cropped later.  Just look at the DoF tables printed for your shorter lenses to determine which one will yield sufficient DoF.  Halving the focal length quadruples the DoF before cropping - the post-crop increase in DoF will be two-fold.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Consider the benefits of backing up or going to a shorter focal length before shooting.</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69850</xdr:rowOff>
    </xdr:from>
    <xdr:to>
      <xdr:col>10</xdr:col>
      <xdr:colOff>603250</xdr:colOff>
      <xdr:row>60</xdr:row>
      <xdr:rowOff>95250</xdr:rowOff>
    </xdr:to>
    <xdr:sp macro="" textlink="">
      <xdr:nvSpPr>
        <xdr:cNvPr id="11265" name="Text 10">
          <a:extLst>
            <a:ext uri="{FF2B5EF4-FFF2-40B4-BE49-F238E27FC236}">
              <a16:creationId xmlns:a16="http://schemas.microsoft.com/office/drawing/2014/main" id="{2AFEEC01-C968-40A6-B73A-9D29DE507066}"/>
            </a:ext>
          </a:extLst>
        </xdr:cNvPr>
        <xdr:cNvSpPr txBox="1">
          <a:spLocks noChangeArrowheads="1"/>
        </xdr:cNvSpPr>
      </xdr:nvSpPr>
      <xdr:spPr bwMode="auto">
        <a:xfrm>
          <a:off x="609600" y="1181100"/>
          <a:ext cx="6089650" cy="8445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9:</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When printing, select the range of cells you want to print and do a  'File, Print Area, Set Print Area' to limit the printing to just the table you want.  Use 'File, Print Preview' in advance of printing.  Don't overlook the ability to alter apertures in the DoF tables (i.e. changing f/4 to f/4.5 if that's the actual minimum aperture of your lens.)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Note that you can also do a 'Tools, Protection, Unprotect Sheet', then highlight and 'File, Delete' any rows in the DoF table that contain apertures your lens lacks, then Print your DoF table, and then close the spreadsheet without saving it, or immediately save the modified version under a different name.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Many people complain that printed DoF tables are difficult to use in the field because the distance scales engraved on their lens barrels are not incremented finely enough to determine the exact distance at which the lens is focused.  Here's the solution:  Get a laser rangefinder and a tape measure.  Seriously.  It's the only way to focus with precision (assuming you have a somewhat static subject, of course.)  Anything short of this and you'll be guessing - i.e. throwing away useful depth of field or useful shutter speed.  Using a laser rangefinder is truly the easiest way to determine best focus quickly.  You just look through it, superimpose the reticle over the target and read the distance from a numeric scale.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 practice, you first determine the distances to your subject's Near and Far Sharps, then check your DoF table to see what f-stop is required for that range of distances.  Then use the rangefinder to locate a target anywhere within sight (even behind you) that's at the table's hyperfocal distance for that f-stop.  Now focus your camera on that target and reframe your shot as desired.  That's it!  You are done with setting the f-stop and best focus.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 recommend the Opti-Logic® 400XL or 300XL (available from CSP Outdoors at: http://www.cspoutdoors.com, for $279.00 and $254.00, respectively, or from Opti-Logic at http://www.opti-logic.com).  Close behind these, I would recommend either the "Bushnell® Yardage Pro™ 400 Rangefinder" or the "Bushnell® Yardage Pro™ 600 Compact Rangefinder", which sell for about $180 and $300 respectively, currently.  They are widely available at sporting goods retailers.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Bushnell's are accurate to +/- 1 meter across their range, but the minimum measurable distance is 15 meters - not good at all for measuring Nears.  The Opti-Logics don't have as many nice features as the Bushnell's, but they are equally accurate and can measure down to a minimum of only 4 yards (12 feet).  If you can't accurately measure the distance to a Near Sharp that resides closer than your rangefinder's minimum using your camera's engraved distance scale, you will have to break out a tape measure.  The alternative is to guess.  Unthinkable.  Until somebody comes up with ISO 1600 film that looks like Velvia, I need every scrap of DoF and shutter speed I can get.  I want both - not an excess of one at the expense of the other!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whole spreadsheet is about precision, about taking control of the medium so that you can enjoy consistent, predictable, reproducible results.  Doing the math and then throwing it away just doesn't make sense.  Use the tables.  You can trust the math.</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 really want to "get focused," drop me an e-mail and I'll send you formulas you can key into a programmable calculator or palm computer for calculating f-stop, focus distance and the visible diffraction </a:t>
          </a:r>
        </a:p>
        <a:p>
          <a:pPr algn="l" rtl="0">
            <a:defRPr sz="1000"/>
          </a:pPr>
          <a:r>
            <a:rPr lang="en-US" sz="1000" b="0" i="0" u="none" strike="noStrike" baseline="0">
              <a:solidFill>
                <a:srgbClr val="000000"/>
              </a:solidFill>
              <a:latin typeface="Arial"/>
              <a:cs typeface="Arial"/>
            </a:rPr>
            <a:t>f-stop in the field.  This approach is superior to using the spreadsheet's printed tables, where you must extrapolate between distances or f-stops.  Using a Hewlett-Packard HP 48G+ in the field, I only use this spreadsheet for one thing - pre-calculating the Maximum Permissible CoC Diameters for various combinations of focal length, post-crop diagonal, and print size.  I have created a small table of these Max CoC values that is affixed to the back of the calculator.  I can quickly and </a:t>
          </a:r>
          <a:r>
            <a:rPr lang="en-US" sz="1000" b="0" i="1" u="none" strike="noStrike" baseline="0">
              <a:solidFill>
                <a:srgbClr val="000000"/>
              </a:solidFill>
              <a:latin typeface="Arial"/>
              <a:cs typeface="Arial"/>
            </a:rPr>
            <a:t>precisely</a:t>
          </a:r>
          <a:r>
            <a:rPr lang="en-US" sz="1000" b="0" i="0" u="none" strike="noStrike" baseline="0">
              <a:solidFill>
                <a:srgbClr val="000000"/>
              </a:solidFill>
              <a:latin typeface="Arial"/>
              <a:cs typeface="Arial"/>
            </a:rPr>
            <a:t> determine how to set my camera's controls for any size print I hope to produce and know that the math will deliver the anticipated results.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xdr:colOff>
      <xdr:row>7</xdr:row>
      <xdr:rowOff>57150</xdr:rowOff>
    </xdr:from>
    <xdr:to>
      <xdr:col>11</xdr:col>
      <xdr:colOff>12700</xdr:colOff>
      <xdr:row>85</xdr:row>
      <xdr:rowOff>82550</xdr:rowOff>
    </xdr:to>
    <xdr:sp macro="" textlink="">
      <xdr:nvSpPr>
        <xdr:cNvPr id="12289" name="Text 13">
          <a:extLst>
            <a:ext uri="{FF2B5EF4-FFF2-40B4-BE49-F238E27FC236}">
              <a16:creationId xmlns:a16="http://schemas.microsoft.com/office/drawing/2014/main" id="{7AD9C102-6FFD-448C-8143-5D3FEF05C761}"/>
            </a:ext>
          </a:extLst>
        </xdr:cNvPr>
        <xdr:cNvSpPr txBox="1">
          <a:spLocks noChangeArrowheads="1"/>
        </xdr:cNvSpPr>
      </xdr:nvSpPr>
      <xdr:spPr bwMode="auto">
        <a:xfrm>
          <a:off x="622300" y="1174750"/>
          <a:ext cx="6096000" cy="12407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Example 1:)  Maximizing DoF when Print Dimensions are Smaller than the Maximum Recommended Dimensions (Tuning the Maximum Permissible CoC Diameter to Eye Resolution - a.k.a. Desired Print Resolution):</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Objective:    </a:t>
          </a:r>
        </a:p>
        <a:p>
          <a:pPr algn="l" rtl="0">
            <a:defRPr sz="1000"/>
          </a:pPr>
          <a:r>
            <a:rPr lang="en-US" sz="1000" b="0" i="0" u="none" strike="noStrike" baseline="0">
              <a:solidFill>
                <a:srgbClr val="000000"/>
              </a:solidFill>
              <a:latin typeface="Arial"/>
              <a:cs typeface="Arial"/>
            </a:rPr>
            <a:t>To create DoF tables for a </a:t>
          </a:r>
          <a:r>
            <a:rPr lang="en-US" sz="1000" b="1" i="0" u="none" strike="noStrike" baseline="0">
              <a:solidFill>
                <a:srgbClr val="000000"/>
              </a:solidFill>
              <a:latin typeface="Arial"/>
              <a:cs typeface="Arial"/>
            </a:rPr>
            <a:t>6x4.5cm format</a:t>
          </a:r>
          <a:r>
            <a:rPr lang="en-US" sz="1000" b="0" i="0" u="none" strike="noStrike" baseline="0">
              <a:solidFill>
                <a:srgbClr val="000000"/>
              </a:solidFill>
              <a:latin typeface="Arial"/>
              <a:cs typeface="Arial"/>
            </a:rPr>
            <a:t> camera equipped with a </a:t>
          </a:r>
          <a:r>
            <a:rPr lang="en-US" sz="1000" b="1" i="0" u="none" strike="noStrike" baseline="0">
              <a:solidFill>
                <a:srgbClr val="000000"/>
              </a:solidFill>
              <a:latin typeface="Arial"/>
              <a:cs typeface="Arial"/>
            </a:rPr>
            <a:t>40mm lens</a:t>
          </a:r>
          <a:r>
            <a:rPr lang="en-US" sz="1000" b="0" i="0" u="none" strike="noStrike" baseline="0">
              <a:solidFill>
                <a:srgbClr val="000000"/>
              </a:solidFill>
              <a:latin typeface="Arial"/>
              <a:cs typeface="Arial"/>
            </a:rPr>
            <a:t>, with anticipation of delivering </a:t>
          </a:r>
          <a:r>
            <a:rPr lang="en-US" sz="1000" b="1" i="0" u="none" strike="noStrike" baseline="0">
              <a:solidFill>
                <a:srgbClr val="000000"/>
              </a:solidFill>
              <a:latin typeface="Arial"/>
              <a:cs typeface="Arial"/>
            </a:rPr>
            <a:t>8x10-inch prints</a:t>
          </a:r>
          <a:r>
            <a:rPr lang="en-US" sz="1000" b="0" i="0" u="none" strike="noStrike" baseline="0">
              <a:solidFill>
                <a:srgbClr val="000000"/>
              </a:solidFill>
              <a:latin typeface="Arial"/>
              <a:cs typeface="Arial"/>
            </a:rPr>
            <a:t> that have </a:t>
          </a:r>
          <a:r>
            <a:rPr lang="en-US" sz="1000" b="1" i="0" u="none" strike="noStrike" baseline="0">
              <a:solidFill>
                <a:srgbClr val="000000"/>
              </a:solidFill>
              <a:latin typeface="Arial"/>
              <a:cs typeface="Arial"/>
            </a:rPr>
            <a:t>just enough Depth of Field to survive examination at a viewing distance of 25cm</a:t>
          </a:r>
          <a:r>
            <a:rPr lang="en-US" sz="1000" b="0" i="0" u="none" strike="noStrike" baseline="0">
              <a:solidFill>
                <a:srgbClr val="000000"/>
              </a:solidFill>
              <a:latin typeface="Arial"/>
              <a:cs typeface="Arial"/>
            </a:rPr>
            <a:t> (9.8 inches).   The combined system resolution for lens and film is assumed to be only 45 lp/mm.   Resolving power of the human eye is assumed to be 5 lp/mm. We want our Depth of Field tables to deliver CoC's at the Near and Far Sharps that are no smaller than the eye can resolve.  (Because the chosen print dimensions are smaller than the Recommended Maximum Print size, there's no need to limit our CoC diameters to the System Resolution at the Print.  Instead we will set our Maximum CoC Diameter to be no smaller than can be seen by the eye at 25cm.)</a:t>
          </a: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1)  </a:t>
          </a:r>
        </a:p>
        <a:p>
          <a:pPr algn="l" rtl="0">
            <a:defRPr sz="1000"/>
          </a:pPr>
          <a:r>
            <a:rPr lang="en-US" sz="1000" b="0" i="0" u="none" strike="noStrike" baseline="0">
              <a:solidFill>
                <a:srgbClr val="000000"/>
              </a:solidFill>
              <a:latin typeface="Arial"/>
              <a:cs typeface="Arial"/>
            </a:rPr>
            <a:t>A value of</a:t>
          </a:r>
          <a:r>
            <a:rPr lang="en-US" sz="1000" b="1" i="0" u="none" strike="noStrike" baseline="0">
              <a:solidFill>
                <a:srgbClr val="000000"/>
              </a:solidFill>
              <a:latin typeface="Arial"/>
              <a:cs typeface="Arial"/>
            </a:rPr>
            <a:t> </a:t>
          </a:r>
          <a:r>
            <a:rPr lang="en-US" sz="1000" b="0" i="0" u="none" strike="noStrike" baseline="0">
              <a:solidFill>
                <a:srgbClr val="000000"/>
              </a:solidFill>
              <a:latin typeface="Arial"/>
              <a:cs typeface="Arial"/>
            </a:rPr>
            <a:t>40 is entered for Focal Length.</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2)</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 Image Diagonal Calculator is used to determine the true diagonal of a nominal 4:5 aspect ratio crop from the full frame 6x4.5cm format.   First, previously processed film is measured to determine the actual image width and height generated by the camera being used.  It is found to be 41.5mm x 56.0mm.  These values are entered in the leftmost column of the Image Diagonal Calculator for the 4.5x6cm format.  The resulting full frame diagonal of 69.70mm can not be used because we intend to crop to a 4:5 aspect ratio to produce our 8x10-inch prints.  Instead, we will use the calculated value for 4:5, which is a diagonal of 66.43mm.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3)</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 Estimated System and Eye Resolutions are supplied as 45 lp/mm and 5 lp/mm, respectively.</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4)</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 Recommended Maximum Dimensions calculated for a 4:5 Aspect Ratio print are 15.69 by 17.54 inches, given the variables we've specified above.  This print would be much larger than we intend to make, so when we specify the Actual Dimensions of the Print to be made, 8 x 10 inches, we are shown that the resulting Magnification Ratio is 4.90x and the Resolution at the Print will be 9.19 lp/mm (nearly twice our Estimate of Eye Resolution, 5 lp/mm).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5)</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TIP 1 tells us that to avoid specifying a Maximum Permissible CoC Diameters smaller than can be resolved by the eye, we will have to specify a denominator that does not exceed 162.6.  (This will prevent us from having CoC's at the Near and Far Sharps smaller than 1/162.6 inch if we were to enlarge to the standard 10-inch diagonal print used for comparing CoC diameters between formats.)  Specifying smaller CoC's would be a waste of Depth of Field, forcing our Nears further away from the camera, when focused at the hyperfocal distance.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TIP 2 tells us that to avoid specifying a Maximum Permissible CoC Diameter smaller than the system can resolve at the Print after magnification (9.19 lp/mm), we will have to specify a denominator that does not exceed 298.9.  (This will prevent us from having CoC's at the Near and Far Sharps smaller than 1/298.9 inch in the standard 10-inch diagonal print.)  Specifying smaller CoC's would again be a waste of Depth of Field.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We are then instructed to consider the lesser value of TIP 1 and TIP 2 to be the largest useful CoC denominator.  So we should use the calculated TIP 1 value of 162.6 as the denominator of  our Maximum Permissible CoC diameter (1/n inch).  When we do this we are shown that adherence to the resulting Depth of Field Tables will produce CoC diameters at the Near and Far Sharps no smaller or larger than can be resolved by the eye, 5.00 lp/mm. (For the current magnification ratio, this is equivalent to a Max CoC diameter on-film of 0.0409mm.)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6)</a:t>
          </a:r>
        </a:p>
        <a:p>
          <a:pPr algn="l" rtl="0">
            <a:defRPr sz="1000"/>
          </a:pPr>
          <a:r>
            <a:rPr lang="en-US" sz="1000" b="0" i="0" u="none" strike="noStrike" baseline="0">
              <a:solidFill>
                <a:srgbClr val="000000"/>
              </a:solidFill>
              <a:latin typeface="Arial"/>
              <a:cs typeface="Arial"/>
            </a:rPr>
            <a:t>This calculation recommends a Minimum Viewing Distance of 25cm (9.84 inches), which confirms that both the Print Resolution and the selected Maximum Permissible CoC Diameter can deliver the specified Eye Resolution (or better) after magnification.</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7)</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calculation tells us that the effects of diffraction will become visible (Airy Disk size = Max CoC size) at an aperture of f/30.2  (a little bit wider than f/32).  So, for the specified Maximum Permissible CoC Diameter, use of f/32 and smaller apertures is forbidden, but we can use f/22, or even a half stop between f/22 and f/32, without concern for the effects of diffraction. </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Step 8) The Final Product</a:t>
          </a:r>
        </a:p>
        <a:p>
          <a:pPr algn="l" rtl="0">
            <a:defRPr sz="1000"/>
          </a:pPr>
          <a:r>
            <a:rPr lang="en-US" sz="1000" b="0" i="0" u="none" strike="noStrike" baseline="0">
              <a:solidFill>
                <a:srgbClr val="000000"/>
              </a:solidFill>
              <a:latin typeface="Arial"/>
              <a:cs typeface="Arial"/>
            </a:rPr>
            <a:t>Because we have fine-tuned our Maximum Permissible CoC diameter to deliver as much Depth of Field as possible in our 8x10 prints, without going smaller than our eyes can resolve (nor smaller than the system can deliver in a print of this size), the resulting DoF tables are much more generous than they would be for a print that's closer to the largest size the format can deliver.  </a:t>
          </a:r>
          <a:r>
            <a:rPr lang="en-US" sz="1000" b="1" i="0" u="none" strike="noStrike" baseline="0">
              <a:solidFill>
                <a:srgbClr val="000000"/>
              </a:solidFill>
              <a:latin typeface="Arial"/>
              <a:cs typeface="Arial"/>
            </a:rPr>
            <a:t> </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For example, at f/22, our 40mm lens, can deliver a sharp 8x10 print, when viewed at 25cm (9.8 inches) or more, from our cropped 6x4.5cm negative, for subjects that range from 2.84 feet to Infinity, when focused at 5.86 feet (or 0.87m to Infinity when focused at 1.73m.)</a:t>
          </a:r>
        </a:p>
        <a:p>
          <a:pPr algn="l" rtl="0">
            <a:defRPr sz="1000"/>
          </a:pPr>
          <a:endParaRPr lang="en-US" sz="1000" b="1" i="0" u="none" strike="noStrike" baseline="0">
            <a:solidFill>
              <a:srgbClr val="000000"/>
            </a:solidFill>
            <a:latin typeface="Arial"/>
            <a:cs typeface="Aria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xdr:colOff>
      <xdr:row>7</xdr:row>
      <xdr:rowOff>101600</xdr:rowOff>
    </xdr:from>
    <xdr:to>
      <xdr:col>10</xdr:col>
      <xdr:colOff>603250</xdr:colOff>
      <xdr:row>100</xdr:row>
      <xdr:rowOff>95250</xdr:rowOff>
    </xdr:to>
    <xdr:sp macro="" textlink="">
      <xdr:nvSpPr>
        <xdr:cNvPr id="13313" name="Text 13">
          <a:extLst>
            <a:ext uri="{FF2B5EF4-FFF2-40B4-BE49-F238E27FC236}">
              <a16:creationId xmlns:a16="http://schemas.microsoft.com/office/drawing/2014/main" id="{CD5A55E1-2F21-451E-8B8D-F62D9CACC3D6}"/>
            </a:ext>
          </a:extLst>
        </xdr:cNvPr>
        <xdr:cNvSpPr txBox="1">
          <a:spLocks noChangeArrowheads="1"/>
        </xdr:cNvSpPr>
      </xdr:nvSpPr>
      <xdr:spPr bwMode="auto">
        <a:xfrm>
          <a:off x="622300" y="1212850"/>
          <a:ext cx="6076950" cy="14757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Example 2:)  Maximizing DoF when Print Dimensions are Larger than the Maximum Recommended Dimensions (Tuning the Maximum Permissible CoC Diameter to System Resolution at the Print):</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Objective:    </a:t>
          </a:r>
        </a:p>
        <a:p>
          <a:pPr algn="l" rtl="0">
            <a:defRPr sz="1000"/>
          </a:pPr>
          <a:r>
            <a:rPr lang="en-US" sz="1000" b="0" i="0" u="none" strike="noStrike" baseline="0">
              <a:solidFill>
                <a:srgbClr val="000000"/>
              </a:solidFill>
              <a:latin typeface="Arial"/>
              <a:cs typeface="Arial"/>
            </a:rPr>
            <a:t>To create DoF tables for a </a:t>
          </a:r>
          <a:r>
            <a:rPr lang="en-US" sz="1000" b="1" i="0" u="none" strike="noStrike" baseline="0">
              <a:solidFill>
                <a:srgbClr val="000000"/>
              </a:solidFill>
              <a:latin typeface="Arial"/>
              <a:cs typeface="Arial"/>
            </a:rPr>
            <a:t>6x4.5cm</a:t>
          </a: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format</a:t>
          </a:r>
          <a:r>
            <a:rPr lang="en-US" sz="1000" b="0" i="0" u="none" strike="noStrike" baseline="0">
              <a:solidFill>
                <a:srgbClr val="000000"/>
              </a:solidFill>
              <a:latin typeface="Arial"/>
              <a:cs typeface="Arial"/>
            </a:rPr>
            <a:t> camera equipped with a </a:t>
          </a:r>
          <a:r>
            <a:rPr lang="en-US" sz="1000" b="1" i="0" u="none" strike="noStrike" baseline="0">
              <a:solidFill>
                <a:srgbClr val="000000"/>
              </a:solidFill>
              <a:latin typeface="Arial"/>
              <a:cs typeface="Arial"/>
            </a:rPr>
            <a:t>40mm lens</a:t>
          </a:r>
          <a:r>
            <a:rPr lang="en-US" sz="1000" b="0" i="0" u="none" strike="noStrike" baseline="0">
              <a:solidFill>
                <a:srgbClr val="000000"/>
              </a:solidFill>
              <a:latin typeface="Arial"/>
              <a:cs typeface="Arial"/>
            </a:rPr>
            <a:t>, with anticipation of delivering</a:t>
          </a:r>
          <a:r>
            <a:rPr lang="en-US" sz="1000" b="1" i="0" u="none" strike="noStrike" baseline="0">
              <a:solidFill>
                <a:srgbClr val="000000"/>
              </a:solidFill>
              <a:latin typeface="Arial"/>
              <a:cs typeface="Arial"/>
            </a:rPr>
            <a:t> 20x24-inch prints</a:t>
          </a:r>
          <a:r>
            <a:rPr lang="en-US" sz="1000" b="0" i="0" u="none" strike="noStrike" baseline="0">
              <a:solidFill>
                <a:srgbClr val="000000"/>
              </a:solidFill>
              <a:latin typeface="Arial"/>
              <a:cs typeface="Arial"/>
            </a:rPr>
            <a:t> that have</a:t>
          </a:r>
          <a:r>
            <a:rPr lang="en-US" sz="1000" b="1" i="0" u="none" strike="noStrike" baseline="0">
              <a:solidFill>
                <a:srgbClr val="000000"/>
              </a:solidFill>
              <a:latin typeface="Arial"/>
              <a:cs typeface="Arial"/>
            </a:rPr>
            <a:t> just enough Depth of Field to equate Maximum Permissible CoC diameters to the Print Resolution</a:t>
          </a:r>
          <a:r>
            <a:rPr lang="en-US" sz="1000" b="0" i="0" u="none" strike="noStrike" baseline="0">
              <a:solidFill>
                <a:srgbClr val="000000"/>
              </a:solidFill>
              <a:latin typeface="Arial"/>
              <a:cs typeface="Arial"/>
            </a:rPr>
            <a:t>.   The combined system resolution for lens and film is assumed to be only 45 lp/mm.   Resolving power of the human eye is assumed to be 5 lp/mm.   We want our Depth of Field tables to deliver CoC's at the Near and Far Sharps that are no smaller than the system resolution can deliver at the print, after magnification.  (Because the chosen print dimensions are larger than the Recommended Maximum Print size, System Resolution at the Print will exceed our specified Eye Resolution.  There is no benefit in limiting our CoC diameters to a size smaller than can be seen by the eye at 25cm.  The Recommended Minimum Viewing Distance will be greater than 9.8 inches.)</a:t>
          </a: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1)  </a:t>
          </a:r>
        </a:p>
        <a:p>
          <a:pPr algn="l" rtl="0">
            <a:defRPr sz="1000"/>
          </a:pPr>
          <a:r>
            <a:rPr lang="en-US" sz="1000" b="0" i="0" u="none" strike="noStrike" baseline="0">
              <a:solidFill>
                <a:srgbClr val="000000"/>
              </a:solidFill>
              <a:latin typeface="Arial"/>
              <a:cs typeface="Arial"/>
            </a:rPr>
            <a:t>A value of 40 is entered for Focal Length.</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2)</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 Image Diagonal Calculator is used to determine the true diagonal of a nominal 5:6 aspect ratio crop from the full frame 6x4.5cm format.   First, previously processed film is measured to determine the actual image width and height generated by the camera being used.  It is found to be 41.5mm x 56.0mm.  These values are entered in the leftmost column of the Image Diagonal Calculator for the 4.5x6cm format.  The resulting full frame diagonal of 69.70mm can not be used because we intend to crop to a 5:6 aspect ratio to produce our 20x24-inch prints.  Instead, we will specify the Aspect Ratio 5:6 and use the resulting calculated value for 6x4.5cm format, which is a diagonal of 64.83mm.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3)</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 Estimated System and Eye Resolutions are supplied as 45 lp/mm and 5 lp/mm, respectively.</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4)</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20x24 is a 5:6 Aspect Ratio that we must specify here as a Custom Aspect Ratio. The Recommended Maximum Dimensions calculated for a 5:6 aspect ratio print are 15.49 by 16.97 inches, given the variables we've specified above.  This print would be smaller than we intend to make, so when we specify the Actual Dimensions of the Print to be made, 20 x 24 inches, we are shown that the resulting Magnification Ratio is 12.24x and the Resolution at the Print will be 3.68 lpmm (not very close to our Estimate of Eye Resolution, 5 lp/mm).  This means that the 20x24 print will not support a viewing distance of 25cm (9.8 inches.)  Instead, the Recommended Minimum Viewing Distance is calculated to be 34cm (13.4 inches).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5)</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TIP 1 tells us that to avoid specifying a Maximum Permissible CoC Diameters smaller than can be resolved by the eye, we will have to specify a denominator that does not exceed 396.8.  (This will prevent us from having CoC's at the Near and Far Sharps smaller than 1/396.8 inch if we were to enlarge to the standard 10-inch diagonal print used for comparing CoC diameters between formats.)  Specifying smaller CoC's would be a waste of Depth of Field, forcing our Nears further away from the camera, when focused at the hyperfocal distance.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TIP 2 tells us that to avoid specifying a Maximum Permissible CoC Diameter smaller than the system can resolve at the Print after magnification (only 3.68 lpmm), we will have to specify a denominator that does not exceed 291.7.  (This will prevent us from having CoC's at the Near and Far Sharps smaller than 1/291.7 inch in the standard 10-inch diagonal print.)  Specifying smaller CoC's would again be a waste of Depth of Field.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We are then instructed to consider the lesser value of TIP 1 and TIP 2 to be the largest useful CoC denominator.  So we should use the calculated TIP 2 value of 291.7 as the denominator of  our Maximum Permissible CoC diameter (1/n inch).  When we do this we are shown that adherence to the resulting Depth of Field Tables will produce CoC diameters at the Near and Far Sharps no smaller or larger than can be resolved by the system at the print, 3.68 lp/mm. (For the current magnification ratio, this is equivalent to a Max CoC diameter on-film of 0.0222mm.)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6)</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calculation recommends a minimum viewing distance of 34cm (13.4 inches), which reveals that the System Resolution could not match our specified Eye Resolution of 5 lp/mm after magnification to 20x40.  This print will not survive examination at 25cm (9.8 inches).</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Step 7)</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calculation tells us that the effects of diffraction will become visible (Airy Disk size = Max CoC size) at an aperture of f/16.4  (essentially at f/16).  So, for the specified Maximum Permissible CoC Diameter, use of f/16 and smaller apertures is forbidden, but we can use f/11 or even a half stop between f/11 an f/16, without concern for the effects of diffraction.  Our CoC's on-film had to be very small to match on-print CoC diameters to system resolution after magnification to 20x24.  To keep diffraction's Airy Disks equally small, we must forfeit the use of f/16 and smaller apertures.  There's no point stopping down to get more DoF if the Airy disks will be made visible by doing so.</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Step 8) The Final Product</a:t>
          </a:r>
        </a:p>
        <a:p>
          <a:pPr algn="l" rtl="0">
            <a:defRPr sz="1000"/>
          </a:pPr>
          <a:r>
            <a:rPr lang="en-US" sz="1000" b="0" i="0" u="none" strike="noStrike" baseline="0">
              <a:solidFill>
                <a:srgbClr val="000000"/>
              </a:solidFill>
              <a:latin typeface="Arial"/>
              <a:cs typeface="Arial"/>
            </a:rPr>
            <a:t>Because we have fine-tuned our Maximum Permissible CoC diameter to deliver as much Depth of Field as possible in our 20x24 prints, without going smaller than the system can resolve at the print, the resulting DoF tables are much more generous than they would be had we optimized CoC diameters to match the Resolving Power of the Eye.  Making them smaller would have wasted DoF because the system resolution can't deliver 5 lp/mm after magnification to 20x24.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For example, at f/22, our 40mm lens, can deliver a sharp 20x24 print, when viewed at 34cm (13.4 inches) or more,  from our cropped 6x4.5cm negative, for subjects that range from 5.22 feet to Infinity, when focused at 10.44 feet (or 1.59m to Infinity when focused at 3.18m).</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Did you catch the problem here?  We can't shoot at f/22, nor even at f/16!  (See Step 7, above.)  I included this discussion of f/22 for the sake of comparison to Example 1, but diffraction will limit us to f/11 + 1/2 stop.  Here are the numbers at that aperture, extrapolating between f/11 and f/16, from the DoF table:</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At f/11+1/2 stop, our 40mm lens, can deliver a sharp 20x24 inch print, when viewed at 34cm (13.4 inches) or more, from our almost full frame 6x4.5cm negative, for subjects that range from 8.91 feet to Infinity, when focused at 17.92 feet (or 2.72m to Infinity when focused at 5.43m).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xdr:colOff>
      <xdr:row>7</xdr:row>
      <xdr:rowOff>76200</xdr:rowOff>
    </xdr:from>
    <xdr:to>
      <xdr:col>11</xdr:col>
      <xdr:colOff>0</xdr:colOff>
      <xdr:row>102</xdr:row>
      <xdr:rowOff>152400</xdr:rowOff>
    </xdr:to>
    <xdr:sp macro="" textlink="">
      <xdr:nvSpPr>
        <xdr:cNvPr id="14337" name="Text 13">
          <a:extLst>
            <a:ext uri="{FF2B5EF4-FFF2-40B4-BE49-F238E27FC236}">
              <a16:creationId xmlns:a16="http://schemas.microsoft.com/office/drawing/2014/main" id="{57AD80EA-73C8-4B68-A494-3B35C189DBFB}"/>
            </a:ext>
          </a:extLst>
        </xdr:cNvPr>
        <xdr:cNvSpPr txBox="1">
          <a:spLocks noChangeArrowheads="1"/>
        </xdr:cNvSpPr>
      </xdr:nvSpPr>
      <xdr:spPr bwMode="auto">
        <a:xfrm>
          <a:off x="622300" y="1187450"/>
          <a:ext cx="6083300" cy="15157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Example 3:)  Getting the Most out of a System by using the Recommended Maximum Print Dimensions to Optimize the Maximum Permissible CoC Diameter to Both the System Resolution at the Print and Eye Resolution (Desired Print Resolution): </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Objective: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To create DoF tables for a</a:t>
          </a:r>
          <a:r>
            <a:rPr lang="en-US" sz="1000" b="1" i="0" u="none" strike="noStrike" baseline="0">
              <a:solidFill>
                <a:srgbClr val="000000"/>
              </a:solidFill>
              <a:latin typeface="Arial"/>
              <a:cs typeface="Arial"/>
            </a:rPr>
            <a:t> 6x4.5cm format </a:t>
          </a:r>
          <a:r>
            <a:rPr lang="en-US" sz="1000" b="0" i="0" u="none" strike="noStrike" baseline="0">
              <a:solidFill>
                <a:srgbClr val="000000"/>
              </a:solidFill>
              <a:latin typeface="Arial"/>
              <a:cs typeface="Arial"/>
            </a:rPr>
            <a:t>camera equipped with a </a:t>
          </a:r>
          <a:r>
            <a:rPr lang="en-US" sz="1000" b="1" i="0" u="none" strike="noStrike" baseline="0">
              <a:solidFill>
                <a:srgbClr val="000000"/>
              </a:solidFill>
              <a:latin typeface="Arial"/>
              <a:cs typeface="Arial"/>
            </a:rPr>
            <a:t>40mm lens</a:t>
          </a:r>
          <a:r>
            <a:rPr lang="en-US" sz="1000" b="0" i="0" u="none" strike="noStrike" baseline="0">
              <a:solidFill>
                <a:srgbClr val="000000"/>
              </a:solidFill>
              <a:latin typeface="Arial"/>
              <a:cs typeface="Arial"/>
            </a:rPr>
            <a:t>, with anticipation of delivering</a:t>
          </a:r>
          <a:r>
            <a:rPr lang="en-US" sz="1000" b="1" i="0" u="none" strike="noStrike" baseline="0">
              <a:solidFill>
                <a:srgbClr val="000000"/>
              </a:solidFill>
              <a:latin typeface="Arial"/>
              <a:cs typeface="Arial"/>
            </a:rPr>
            <a:t> the largest possible prints the System Resolution will deliver</a:t>
          </a:r>
          <a:r>
            <a:rPr lang="en-US" sz="1000" b="0" i="0" u="none" strike="noStrike" baseline="0">
              <a:solidFill>
                <a:srgbClr val="000000"/>
              </a:solidFill>
              <a:latin typeface="Arial"/>
              <a:cs typeface="Arial"/>
            </a:rPr>
            <a:t> and just enough Depth of Field to survive examination at a viewing distance of 25cm (9.8 inches).   The combined system resolution for lens and film is assumed to be only 45 lp/mm.   Resolving power of the human eye is assumed to be 5 lp/mm.   We want our Depth of Field tables to deliver CoC's at the Near and Far Sharps that are neither smaller than the eye can resolve nor smaller than the system resolution can deliver at the print, after magnification.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1)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value of 40 is entered for Focal Length.</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To get the most out of our format, we'll want to print at the same aspect ratio as the format - in this case 4.5x6cm or a ratio of 3:4.  The Image Diagonal Calculator is used to determine the true diagonal of a nominal 3:4 aspect ratio crop from the full frame 6x4.5cm format.   First, previously processed film is measured to determine the actual image width and height generated by the camera being used.  It is found to be 41.5mm x 56.0mm.  These values are entered in the leftmost column of the Image Diagonal Calculator for the 4.5x6cm format.  The resulting full frame diagonal of 69.70mm can not be used because we intend to crop to a 3:4 aspect ratio to produce our Maximum Recommended Dimension prints.  Instead, we will use the calculated value for 3:4, which is a diagonal of 69.17mm.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Estimated System and Eye Resolutions are supplied as 45 lp/mm and 5 lp/mm, respectively.</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4)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3:4 must be specified as a Custom Aspect Ratio.  The Recommended Maximum Dimensions calculated for a 3:4 Aspect Ratio print are 14.71 x 19.61 inches, given the variables we've specified above.  Since we have decided to print at the Recommended Maximum Dimensions,  we must specify them as the Actual Dimensions of the Print to be made.  We are then shown that the resulting Magnification Ratio is 9.0x and the Resolution at the Print will be 5 lpmm.  (precisely equal to our Estimate of Eye Resolution, 5 lp/mm).  No larger print can be extracted from this format without dropping the System Resolution at the Print below 5 lp/mm.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5)</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TIP 1 tells us that to avoid specifying a Maximum Permissible CoC Diameters smaller than can be resolved by the eye, we will have to specify a denominator that does not exceed 311.3.  (This will prevent us from having CoC's at the Near and Far Sharps smaller than 1/311.3 inch if we were to enlarge to the standard 10-inch diagonal print used for comparing CoC diameters between formats.)  Specifying smaller CoC's would be a waste of Depth of Field, forcing our Nears further away from the camera, when focused at the hyperfocal distance.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TIP 2 tells us that to avoid specifying a Maximum Permissible CoC Diameter smaller than the system can resolve at the Print after magnification (5 lpmm), we will have to specify a denominator that does not exceed 311.3.  (This will prevent us from having CoC's at the Near and Far Sharps smaller than 1/311.3 inch in the standard 10-inch diagonal print.)  Specifying smaller CoC's would again be a waste of Depth of Field.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We are then instructed to consider the lesser value of TIP 1 and TIP 2 to be the largest useful CoC denominator.  Why are they equal to each other, with both at 311.3?  It's because we specified Print Dimensions that result in a Magnification Ratio which yields a System Resolution at the Print equal to our Estimated Eye Resolution.  So it's obvious we should specify a value of 311.3 as the denominator of  our Maximum Permissible CoC diameter (1/n inch).  When we do this we are shown that adherence to the resulting Depth of Field Tables will produce CoC diameters at the Near and Far Sharps no smaller or larger than can be resolved by the eye, 5.00 lp/mm.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6)</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calculation recommends a Minimum Viewing Distance of 25cm (9.84 inches), which confirms that both the Print Resolution and the selected Maximum Permissible CoC Diameter can deliver the specified Eye Resolution (or better) after magnification.</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7)</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calculation tells us that the effects of diffraction will become visible (Airy Disk size = Max CoC size) at an aperture of f/16.4  (essentially at f/16).  So, for the specified Maximum Permissible CoC Diameter, use of f/16 and smaller apertures is forbidden, but we can use f/11 or even a half stop between f/11 an f/16, without concern for the effects of diffraction.  </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Step 8) The Final Product</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At the Maximum Recommended Print Dimensions of 16.04 x 18.53, we have magnified our 6x4.5cm format as much as we can given the 9:1 ratio of System Resolution to Eye Resolution.  We have also tuned our Maximum Permissible CoC diameter to deliver as much Depth of Field as possible in our 16.04 x 18.53 print, without going smaller than our eyes can resolve.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For example, at f/22, our 40mm lens, can deliver a sharp 14.7x19.6 inch print, when viewed at 25cm (9.8 inches) or more, from our almost full frame 6x4.5cm negative, for subjects that range from 5.22 feet to Infinity, when focused at 10.44 feet (or 1.59m to Infinity when focused at 3.18m).  Because CoC Diameter was matched to System Resolution at the print, this is the same DoF we calculated for our 20x24 prints in Example 2), but here, we can enjoy them at the closer viewing distance of 25cm instead of 34 cm (9.8 inches instead of 13.4 inches).</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Did you catch the problem here?  We can't shoot at f/22, nor even at f/16!  (See Step 7, above.)  I included this discussion of f/22 for the sake of comparison to Example 1, but diffraction will limit us to f/11 + 1/2 stop.  Here are the numbers at that aperture, extrapolating between f/11 and f/16, from the DoF table:</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At f/11+1/2 stop, our 40mm lens, can deliver a sharp 14.7x19.6 inch print, when viewed at 25cm (9.8 inches) or more, from our almost full frame 6x4.5cm negative, for subjects that range from 8.91 feet to Infinity, when focused at 17.92 feet (or 2.72m to Infinity when focused at 5.43m).  Because CoC Diameter was matched to System Resolution at the print, this is the same DoF we calculated for our 20x24 prints in Example 2), but here, we can enjoy them at the closer viewing distance of 25cm instead of 34 cm (9.8 inches instead of 13.4 inches).</a:t>
          </a: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xdr:colOff>
      <xdr:row>7</xdr:row>
      <xdr:rowOff>114300</xdr:rowOff>
    </xdr:from>
    <xdr:to>
      <xdr:col>10</xdr:col>
      <xdr:colOff>603250</xdr:colOff>
      <xdr:row>80</xdr:row>
      <xdr:rowOff>6350</xdr:rowOff>
    </xdr:to>
    <xdr:sp macro="" textlink="">
      <xdr:nvSpPr>
        <xdr:cNvPr id="15361" name="Text 13">
          <a:extLst>
            <a:ext uri="{FF2B5EF4-FFF2-40B4-BE49-F238E27FC236}">
              <a16:creationId xmlns:a16="http://schemas.microsoft.com/office/drawing/2014/main" id="{483C12EA-8F53-4C23-97AB-DEAF6DE6F452}"/>
            </a:ext>
          </a:extLst>
        </xdr:cNvPr>
        <xdr:cNvSpPr txBox="1">
          <a:spLocks noChangeArrowheads="1"/>
        </xdr:cNvSpPr>
      </xdr:nvSpPr>
      <xdr:spPr bwMode="auto">
        <a:xfrm>
          <a:off x="622300" y="1225550"/>
          <a:ext cx="6076950" cy="11480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Example 4:)  Using a </a:t>
          </a:r>
          <a:r>
            <a:rPr lang="en-US" sz="1000" b="1" i="1" u="none" strike="noStrike" baseline="0">
              <a:solidFill>
                <a:srgbClr val="000000"/>
              </a:solidFill>
              <a:latin typeface="Arial"/>
              <a:cs typeface="Arial"/>
            </a:rPr>
            <a:t>single</a:t>
          </a:r>
          <a:r>
            <a:rPr lang="en-US" sz="1000" b="1" i="0" u="none" strike="noStrike" baseline="0">
              <a:solidFill>
                <a:srgbClr val="000000"/>
              </a:solidFill>
              <a:latin typeface="Arial"/>
              <a:cs typeface="Arial"/>
            </a:rPr>
            <a:t> Maximum Permissible Circle of Confusion Diameter for </a:t>
          </a:r>
          <a:r>
            <a:rPr lang="en-US" sz="1000" b="1" i="1" u="none" strike="noStrike" baseline="0">
              <a:solidFill>
                <a:srgbClr val="000000"/>
              </a:solidFill>
              <a:latin typeface="Arial"/>
              <a:cs typeface="Arial"/>
            </a:rPr>
            <a:t>all</a:t>
          </a:r>
          <a:r>
            <a:rPr lang="en-US" sz="1000" b="1" i="0" u="none" strike="noStrike" baseline="0">
              <a:solidFill>
                <a:srgbClr val="000000"/>
              </a:solidFill>
              <a:latin typeface="Arial"/>
              <a:cs typeface="Arial"/>
            </a:rPr>
            <a:t> combinations of focal length and format, where </a:t>
          </a:r>
          <a:r>
            <a:rPr lang="en-US" sz="1000" b="1" i="1" u="none" strike="noStrike" baseline="0">
              <a:solidFill>
                <a:srgbClr val="000000"/>
              </a:solidFill>
              <a:latin typeface="Arial"/>
              <a:cs typeface="Arial"/>
            </a:rPr>
            <a:t>all</a:t>
          </a:r>
          <a:r>
            <a:rPr lang="en-US" sz="1000" b="1" i="0" u="none" strike="noStrike" baseline="0">
              <a:solidFill>
                <a:srgbClr val="000000"/>
              </a:solidFill>
              <a:latin typeface="Arial"/>
              <a:cs typeface="Arial"/>
            </a:rPr>
            <a:t> prints will display the same degree of Depth of Field when viewed at distances equal to their diagonals.  (Do not use this strategy if you want your prints to tolerate examination at viewing distances less than their diagonal.):</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Objective:    </a:t>
          </a:r>
        </a:p>
        <a:p>
          <a:pPr algn="l" rtl="0">
            <a:defRPr sz="1000"/>
          </a:pPr>
          <a:r>
            <a:rPr lang="en-US" sz="1000" b="0" i="0" u="none" strike="noStrike" baseline="0">
              <a:solidFill>
                <a:srgbClr val="000000"/>
              </a:solidFill>
              <a:latin typeface="Arial"/>
              <a:cs typeface="Arial"/>
            </a:rPr>
            <a:t>To create DoF tables for each of several combinations of format and lens focal length, using a single Maximum Permissible Circle of Confusion Diameter that will deliver the same illusion of Depth of Field in every print, when viewed at a distance equal to its diagonal.  It is understood that this CoC Diameter can be determined from any one combination of format diagonal and focal length and then applied to all combinations of format and focal length.  This is possible because you will be specifying the Maximum Permissible CoC Diameter for a standard 10-inch diagonal print, from which DoF calculations take into account the degree of magnification or reduction necessary for </a:t>
          </a:r>
          <a:r>
            <a:rPr lang="en-US" sz="1000" b="0" i="1" u="none" strike="noStrike" baseline="0">
              <a:solidFill>
                <a:srgbClr val="000000"/>
              </a:solidFill>
              <a:latin typeface="Arial"/>
              <a:cs typeface="Arial"/>
            </a:rPr>
            <a:t>any</a:t>
          </a:r>
          <a:r>
            <a:rPr lang="en-US" sz="1000" b="0" i="0" u="none" strike="noStrike" baseline="0">
              <a:solidFill>
                <a:srgbClr val="000000"/>
              </a:solidFill>
              <a:latin typeface="Arial"/>
              <a:cs typeface="Arial"/>
            </a:rPr>
            <a:t> format.  In this example, we will set the standard using the 6x4.5cm format with a 40mm lens.</a:t>
          </a: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1)  </a:t>
          </a:r>
        </a:p>
        <a:p>
          <a:pPr algn="l" rtl="0">
            <a:defRPr sz="1000"/>
          </a:pPr>
          <a:r>
            <a:rPr lang="en-US" sz="1000" b="0" i="0" u="none" strike="noStrike" baseline="0">
              <a:solidFill>
                <a:srgbClr val="000000"/>
              </a:solidFill>
              <a:latin typeface="Arial"/>
              <a:cs typeface="Arial"/>
            </a:rPr>
            <a:t>A value of</a:t>
          </a:r>
          <a:r>
            <a:rPr lang="en-US" sz="1000" b="1" i="0" u="none" strike="noStrike" baseline="0">
              <a:solidFill>
                <a:srgbClr val="000000"/>
              </a:solidFill>
              <a:latin typeface="Arial"/>
              <a:cs typeface="Arial"/>
            </a:rPr>
            <a:t> </a:t>
          </a:r>
          <a:r>
            <a:rPr lang="en-US" sz="1000" b="0" i="0" u="none" strike="noStrike" baseline="0">
              <a:solidFill>
                <a:srgbClr val="000000"/>
              </a:solidFill>
              <a:latin typeface="Arial"/>
              <a:cs typeface="Arial"/>
            </a:rPr>
            <a:t>40 is entered for Focal Length.</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2)</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 Image Diagonal Calculator is used to determine the true diagonal of a nominal 4:5 aspect ratio crop from the full frame 6x4.5cm format.   You could use any aspect ratio, but in this example, we will use 4:5. First, previously processed film is measured to determine the actual image width and height generated by the camera being used.  It is found to be 41.5mm x 56.0mm.  These values are entered in the leftmost column of the Image Diagonal Calculator for the 4.5x6cm format.  The resulting full frame diagonal of 69.70mm can not be used because we intend to crop to a 4:5 aspect ratio to produce 8x10-inch test prints.  We could use any size 4:5 aspect ratio print, but 8x10 is the most economical size large enough to easily evaluate Depth of Field.  We will use the calculated value for 4:5, which is a diagonal of 66.43mm.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3)</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Specification of Estimated System and Eye Resolutions is NOT required for this strategy.</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4)</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Specification of Print Dimensions is NOT required for this strategy.</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5)</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TIP's 1 and 2 are irrelevant for this strategy.   Instead, we will simply choose a Maximum Permissible Circle of Confusion Diameter with which to create our first DoF table.  That table will be used to make several test shots, with careful placement of subjects at the calculated near and far sharps for the widest aperture (which makes it easier to evaluate DoF.)  I recommend a starting Diameter of 1/175-inch.  So, we'll first specify a value of 175 for the denominator of the Maximum Permissible CoC Diameter.  (See "A Closer Look at Choosing CoC Diameters", in Note 5, above.)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6)</a:t>
          </a:r>
        </a:p>
        <a:p>
          <a:pPr algn="l" rtl="0">
            <a:defRPr sz="1000"/>
          </a:pPr>
          <a:r>
            <a:rPr lang="en-US" sz="1000" b="0" i="0" u="none" strike="noStrike" baseline="0">
              <a:solidFill>
                <a:srgbClr val="000000"/>
              </a:solidFill>
              <a:latin typeface="Arial"/>
              <a:cs typeface="Arial"/>
            </a:rPr>
            <a:t>This Recommend of Minimum Viewing Distance is irrelevant for this strategy (it is dependant on Steps 3 and 4, which were ignored here.)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7)</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calculation tells us that the effects of diffraction will become visible (Airy Disk size = Max CoC size) at an aperture of f/28.0  (a little wider than f/32).  So, for the specified Maximum Permissible CoC Diameter, use of f/32 and smaller apertures is forbidden, but we can use f/22 without concern for the effects of diffraction.  For this format diagonal, use of f/22 and wider apertures will keep diffraction's Airy Disks smaller than our chosen Maximum Permissible CoC Diameter, and thus the effects of diffraction will not be visible when prints are viewed at a distance equal to or greater than the print diagonal.</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Step 8) The Final Product</a:t>
          </a:r>
        </a:p>
        <a:p>
          <a:pPr algn="l" rtl="0">
            <a:defRPr sz="1000"/>
          </a:pPr>
          <a:r>
            <a:rPr lang="en-US" sz="1000" b="0" i="0" u="none" strike="noStrike" baseline="0">
              <a:solidFill>
                <a:srgbClr val="000000"/>
              </a:solidFill>
              <a:latin typeface="Arial"/>
              <a:cs typeface="Arial"/>
            </a:rPr>
            <a:t>If, after examining test prints produced as described in "A Closer Look at Choosing CoC Diameters" in Note 5, we find that subjects carefully placed at the Near and Far Sharp distances do not appear acceptably sharp when viewed at a distance equal to the print diagonal, we must repeat the process, calculating new DoF tables and shooting new test prints, against a smaller Maximum Permissible CoC Diameter.  We might try shrinking our CoC's by 25%, using a value of 219 as the denominator for a Maximum Permissible CoC Diameter of 1/219 inch.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Again, we can examine our test prints, with the goal being to find the largest acceptable CoC diameter (smallest acceptable denominator).  To make sure we have not overshot the goal, when we first find a value that delivers acceptable results, we must shoot another test series at some value between the values used for the last two series.  Only then can we be sure that we are not wasting Depth of Field.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When we have chosen a final value, we can use it for all combinations of format, focal length and print size, knowing that under all circumstances, that value will generate DoF tables that deliver the very same illusion of Depth of Field in every print viewed at a distance equal to its diagonal.</a:t>
          </a:r>
        </a:p>
        <a:p>
          <a:pPr algn="l" rtl="0">
            <a:defRPr sz="1000"/>
          </a:pPr>
          <a:endParaRPr lang="en-US" sz="10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7</xdr:row>
      <xdr:rowOff>76200</xdr:rowOff>
    </xdr:from>
    <xdr:to>
      <xdr:col>10</xdr:col>
      <xdr:colOff>603250</xdr:colOff>
      <xdr:row>96</xdr:row>
      <xdr:rowOff>0</xdr:rowOff>
    </xdr:to>
    <xdr:sp macro="" textlink="">
      <xdr:nvSpPr>
        <xdr:cNvPr id="2049" name="Text 2">
          <a:extLst>
            <a:ext uri="{FF2B5EF4-FFF2-40B4-BE49-F238E27FC236}">
              <a16:creationId xmlns:a16="http://schemas.microsoft.com/office/drawing/2014/main" id="{12CB72FD-63E5-4415-9B11-88CC99B9F457}"/>
            </a:ext>
          </a:extLst>
        </xdr:cNvPr>
        <xdr:cNvSpPr txBox="1">
          <a:spLocks noChangeArrowheads="1"/>
        </xdr:cNvSpPr>
      </xdr:nvSpPr>
      <xdr:spPr bwMode="auto">
        <a:xfrm>
          <a:off x="622300" y="1187450"/>
          <a:ext cx="6076950" cy="14052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Introduction: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spreadsheet allows you to calculate DoF tables for all of your lenses/formats, taking cropping into account and it allows YOU to specify the Maximum Permissible Diameter for Circles of Confusion, not at the film, but for a "Standard" 10-inch diagonal print, after magnification (or reduction) from all the full frame and cropped formats you use.  This one specification of maximum CoC diameter, tuned to your preference, can be used to generate tables for all combinations of lenses and formats you work with so that every image produced using these tables will yield precisely the same illusion of Depth of Field when viewed at a distance proportional to the print diagonal. (See Example 4, below.)  It also calculates the aperture at which the diameter of diffraction's Airy disks will equal the Maximum Permissible CoC Diameter.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 prefer that every print tolerate examination at a viewing distance of only 25 cm (9.8 inches), rather than at a distance equal to its print diagonal, you can make use of the system resolution related features to recommend a CoC diameter that meets that goal while preserving as much DoF as possible. This feature requires that you specify system resolution (the combined resolving power of your lens and film) and the resolving power of your eye - which is treated as the print resolution you want to achieve (i.e. 5 lp/mm) after magnification.   (See Examples 1 through 3, below.)</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Having previously specified the format diagonal (after cropping), the spreadsheet calculates the maximum print dimensions for various aspect ratios (i.e. 1:1, 2:3, 4:5, 5:7, and 11:14), or for a user-specified aspect ratio, that will deliver your specified resolution in the print, given the system resolution.  You then specify the actual print size you intend to make, using the recommended dimensions that will guarantee your desired print resolution after magnification (assuming the specified system resolution is correct) OR you can just enter in any print dimensions you desire.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resulting after-magnification resolution at the print is then calculated - it will be equal to your desired print resolution if you entered one of the recommended dimensions, a higher lp/mm if your dimensions are smaller (less magnification) or a lower lpmm if your dimensions are larger.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spreadsheet then calculates and suggests a limit for the smallest Maximum Permissible CoC Diameter you should specify to avoid going smaller than can be resolved by the eye (i.e. 5 lp/mm).  Going smaller would be a waste of DoF.  It similarly calculates and suggests a limit for the smallest Maximum Permissible CoC Diameter you should specify to avoid going smaller than the system can resolve at the print.  Again, going smaller would be a waste of DoF.  You are instructed to consider the greater of the two diameters (the lesser of the two denominators, where the Maximum Permissible CoC Diameter is expressed as 1/n inch) to be the smallest useful Maximum Permissible CoC Diameter (the greatest useful denominator) at the Near and Far sharps.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For example, when the magnification ratio is really excessive, as for a 20x24 print from 35mm, the system resolution at the print would be 2.18 lp/mm (assuming a system resolution at the film of 45 lp/mm and a human eye resolving power of 5 lp/mm).   At only 2.18 lp/mm in the print, there is no need to force Max CoC diameters down to 5 lp/mm,  so the second recommendation above would take precedence over any concern for matching what the eye can resolve.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When the magnification ratio is smaller than what the system resolution can actually deliver, as for a 4x5 print from 35mm, the system resolution at the print would be 10.63 lp/mm (again assuming a system resolution at the film of 45 lp/mm).  At 10.63 lpmm in the print, we now have no need to force Max CoC diameters beyond 5.00 lp/mm - the maximum resolution your eye can resolve at a 25 cm viewing distance.  In this situation, the first recommendation above would take precedence over any concern for matching CoC diameter to the print resolution.  Again, we have optimized our DoF - in fact, for every situation where the magnification ratio is small, like an 8x10 from 6x7cm, the resulting DoF tables are very generous compared to those calculated for the same lens/format combination at larger magnification ratios.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 want to make a really big print, where the magnification ratio exceeds the ratio of system resolution to eye resolution, go ahead - this spreadsheet will recommend the appropriate Maximum CoC Diameter AND it </a:t>
          </a:r>
        </a:p>
        <a:p>
          <a:pPr algn="l" rtl="0">
            <a:defRPr sz="1000"/>
          </a:pPr>
          <a:r>
            <a:rPr lang="en-US" sz="1000" b="0" i="0" u="none" strike="noStrike" baseline="0">
              <a:solidFill>
                <a:srgbClr val="000000"/>
              </a:solidFill>
              <a:latin typeface="Arial"/>
              <a:cs typeface="Arial"/>
            </a:rPr>
            <a:t>will recommend the minimum viewing distance for that size print, the distance which simulates a 5 lp/mm resolution when viewed at only 25cm.</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That's not all...  The effects of diffraction increase as we stop down to increase Depth of Field.  This spreadsheet calculates the aperture at which the effects of diffraction will become visible (where the diameter</a:t>
          </a:r>
        </a:p>
        <a:p>
          <a:pPr algn="l" rtl="0">
            <a:defRPr sz="1000"/>
          </a:pPr>
          <a:r>
            <a:rPr lang="en-US" sz="1000" b="0" i="0" u="none" strike="noStrike" baseline="0">
              <a:solidFill>
                <a:srgbClr val="000000"/>
              </a:solidFill>
              <a:latin typeface="Arial"/>
              <a:cs typeface="Arial"/>
            </a:rPr>
            <a:t>of diffraction's Airy disks equal your chosen Maximum CoC Diameter.)  This should be our Minimum Working Aperture.  If for example, this is calculated to occur at f/20, you will know that it is pointless to seek additional depth of field by stopping down from f/16 to f/f22 or f/32.  To do so would increase DoF at the expense of diffraction.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When you print the resulting Depth of Field tables, headers document the intended print dimensions, the chosen resolution at the print, and the recommended minimum viewing distance.  By calculating optimized tables for various print sizes, where not one inch of acceptable depth of field has been lost to ignorance of the variables, you'll be able to accurately predict acceptable print dimensions in the field.  (The further away the Near Sharp is, the larger your print can be.)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As a quick example, consider that a 16x20-inch print, capable of tolerating examination at 25cm (9.8 inches), made from 6x7cm format, enjoys a Near Sharp of 2.1 meters (6.88 feet), at f/16 with a 43mm lens, when focused at the hyperfocal distance of 4.19 meters (13.76 feet).   Any subject closer than 2.1 meters simply won't be found acceptably sharp in a 16x20 print viewed at a distance of 25cm.  Want more Depth of Field?  </a:t>
          </a:r>
        </a:p>
        <a:p>
          <a:pPr algn="l" rtl="0">
            <a:defRPr sz="1000"/>
          </a:pPr>
          <a:r>
            <a:rPr lang="en-US" sz="1000" b="0" i="0" u="none" strike="noStrike" baseline="0">
              <a:solidFill>
                <a:srgbClr val="000000"/>
              </a:solidFill>
              <a:latin typeface="Arial"/>
              <a:cs typeface="Arial"/>
            </a:rPr>
            <a:t>Take a look at your DoF table for the next smaller print dimensions you have optimized.  If that's an 11x14 print, you'll find that a print of that size will survive examination at 25cm with the Near Sharp moved closer to the camera - 1.47 meters (4.81 feet) at f/16 with the same 43mm lens focused at the new hyperfocal distance of 2.94 meters (9.63 feet).  This is possible because of the reduced magnfication ratio - the CoC diameters at the film can be larger for an 11x14 print than for a 16x20.</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We're not done yet!  This spreadsheed also includes calculators for increasing Depth of Field by decreasing focal length (without moving) or by increasing subject distance (without changing focal length).  The accompanying notes explain simple methods for doing this in the field.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Enjoy!</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7</xdr:row>
      <xdr:rowOff>0</xdr:rowOff>
    </xdr:from>
    <xdr:to>
      <xdr:col>10</xdr:col>
      <xdr:colOff>603250</xdr:colOff>
      <xdr:row>13</xdr:row>
      <xdr:rowOff>6350</xdr:rowOff>
    </xdr:to>
    <xdr:sp macro="" textlink="">
      <xdr:nvSpPr>
        <xdr:cNvPr id="3074" name="Text 4">
          <a:extLst>
            <a:ext uri="{FF2B5EF4-FFF2-40B4-BE49-F238E27FC236}">
              <a16:creationId xmlns:a16="http://schemas.microsoft.com/office/drawing/2014/main" id="{29582055-30DC-4178-90A2-2CA75301B036}"/>
            </a:ext>
          </a:extLst>
        </xdr:cNvPr>
        <xdr:cNvSpPr txBox="1">
          <a:spLocks noChangeArrowheads="1"/>
        </xdr:cNvSpPr>
      </xdr:nvSpPr>
      <xdr:spPr bwMode="auto">
        <a:xfrm>
          <a:off x="622300" y="1111250"/>
          <a:ext cx="6076950" cy="965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1:</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Lens Focal Length is required for calculating Depth of Field.  Specify the Focal Length of your lens, in millimeters.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7</xdr:row>
      <xdr:rowOff>44450</xdr:rowOff>
    </xdr:from>
    <xdr:to>
      <xdr:col>10</xdr:col>
      <xdr:colOff>603250</xdr:colOff>
      <xdr:row>37</xdr:row>
      <xdr:rowOff>95250</xdr:rowOff>
    </xdr:to>
    <xdr:sp macro="" textlink="">
      <xdr:nvSpPr>
        <xdr:cNvPr id="4097" name="Text 1">
          <a:extLst>
            <a:ext uri="{FF2B5EF4-FFF2-40B4-BE49-F238E27FC236}">
              <a16:creationId xmlns:a16="http://schemas.microsoft.com/office/drawing/2014/main" id="{451A6092-B81D-463E-98DD-AC083DAA7CA8}"/>
            </a:ext>
          </a:extLst>
        </xdr:cNvPr>
        <xdr:cNvSpPr txBox="1">
          <a:spLocks noChangeArrowheads="1"/>
        </xdr:cNvSpPr>
      </xdr:nvSpPr>
      <xdr:spPr bwMode="auto">
        <a:xfrm>
          <a:off x="622300" y="1155700"/>
          <a:ext cx="6076950" cy="4946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2:</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Format Diagonal is required for calculating Depth of Field.  Specify the actual diagonal of the area you intend to enlarge when printing.  </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Since you can't predict exactly how your images will be cropped beforehand, you should consider creating more than one set of DoF tables.  A 35mm photographer might create a set for full frame shots, for when one realizes in the field that the subject demands the full 2:3 aspect ratio of the 24x36mm frame (for printing to 8x12 for example) and a second set, for nominal 4:5 aspect ratio crops (for 8x10 prints).  You will note a considerable difference in the DoF tables produced for the full frame 43mm diagonal vs. the smaller 38mm diagonal.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Most DoF calculators make the assumption that you print everything full frame.  This yields DoF tables that are more conservative (Near Sharps are further away) than they would be for a smaller diagonal.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 know in advance what aspect ratio print will be produced, use a calculated cropped diagonal instead of the full image diagonal.  Use the Image Diagonal Calculator as a guide.  You can change the Length x Width values for any format after measuring image dimensions produced by your cameras (directly from processed film).  Length should be entered as the greater dimension, if length is not equal to width.  You can use the last column of the Calculator to specify an aspect ratio other than 4:5, 5:7 or 11:14, to get that aspect ratio's diagonal.  Don't be too concerned about the possibility that your post-crop diagonal may be smaller than anticipated - your DoF tables will have been just a little more conservative than necessary, but at least Depth of Field will not suffer when using a smaller area of the film than anticipated.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Please note that you can choose to specify any print dimensions you desire in Step 4, but </a:t>
          </a:r>
          <a:r>
            <a:rPr lang="en-US" sz="1000" b="1" i="1" u="none" strike="noStrike" baseline="0">
              <a:solidFill>
                <a:srgbClr val="000000"/>
              </a:solidFill>
              <a:latin typeface="Arial"/>
              <a:cs typeface="Arial"/>
            </a:rPr>
            <a:t>make sure the dimensions you provide in Step 4 match the aspect ratio you had in mind when you specified the size of your image diagonal here in Step 2!</a:t>
          </a:r>
          <a:r>
            <a:rPr lang="en-US" sz="1000" b="1" i="0" u="none" strike="noStrike" baseline="0">
              <a:solidFill>
                <a:srgbClr val="000000"/>
              </a:solidFill>
              <a:latin typeface="Arial"/>
              <a:cs typeface="Arial"/>
            </a:rPr>
            <a:t>  If you change the print dimensions from 8x10 to 11x14, for example, you should have also changed your image diagonal in Step 2.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19050</xdr:rowOff>
    </xdr:from>
    <xdr:to>
      <xdr:col>11</xdr:col>
      <xdr:colOff>12700</xdr:colOff>
      <xdr:row>80</xdr:row>
      <xdr:rowOff>0</xdr:rowOff>
    </xdr:to>
    <xdr:sp macro="" textlink="">
      <xdr:nvSpPr>
        <xdr:cNvPr id="5121" name="Text 5">
          <a:extLst>
            <a:ext uri="{FF2B5EF4-FFF2-40B4-BE49-F238E27FC236}">
              <a16:creationId xmlns:a16="http://schemas.microsoft.com/office/drawing/2014/main" id="{A2D7B452-1CDB-417E-B2AA-273109300380}"/>
            </a:ext>
          </a:extLst>
        </xdr:cNvPr>
        <xdr:cNvSpPr txBox="1">
          <a:spLocks noChangeArrowheads="1"/>
        </xdr:cNvSpPr>
      </xdr:nvSpPr>
      <xdr:spPr bwMode="auto">
        <a:xfrm>
          <a:off x="609600" y="1130300"/>
          <a:ext cx="6108700" cy="11569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3:</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Specification of System Resolving Power and the Eye Resolving Power (or Desired Print Resolution) is not required for calculation of Depth of Field.  They </a:t>
          </a:r>
          <a:r>
            <a:rPr lang="en-US" sz="1000" b="1" i="1" u="none" strike="noStrike" baseline="0">
              <a:solidFill>
                <a:srgbClr val="000000"/>
              </a:solidFill>
              <a:latin typeface="Arial"/>
              <a:cs typeface="Arial"/>
            </a:rPr>
            <a:t>are</a:t>
          </a:r>
          <a:r>
            <a:rPr lang="en-US" sz="1000" b="1" i="0" u="none" strike="noStrike" baseline="0">
              <a:solidFill>
                <a:srgbClr val="000000"/>
              </a:solidFill>
              <a:latin typeface="Arial"/>
              <a:cs typeface="Arial"/>
            </a:rPr>
            <a:t> required for matching the Maximum Permissible Diameter for Circles of Confusion to the Print Resolution.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System Resolving Power:</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best lenses when used with the best B&amp;W films, together as a system, can not deliver more than  about 60 lp/mm on film.  (The abreviation lp/mm is read: line pairs per millimeter.)  With today's best color films, we can achieve a system resolution of about 45 lp/mm.   If you believe your system can deliver a better figure, feel free to use it. </a:t>
          </a:r>
          <a:r>
            <a:rPr lang="en-US" sz="1000" b="1" i="0" u="none"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These variables are provided to assist you in identifying a realistic limit to how small your Maximum CoC diameter needs to be.  It is not necessarily desirable to tune the CoC diameter down to a size that exactly matches the resolving power of your lens, the film or the system as a whole, but why go smaller?  For example, Velvia can deliver 80 lp/mm in low contrast (1.6:1) areas of the image and 160 lp/mm at a contrast ratio of 1000:1.  Most films at ISO 200 or slower can resolve at least 50 lpmm  at 1.6:1.  A very good lens, like the Mamiya 7 80mm f/4, can achieve resolving powers on the order of 180 lp/mm.  The combined resolving power, R, of the lens and film together as a system, is often  expressed as: </a:t>
          </a:r>
        </a:p>
        <a:p>
          <a:pPr algn="l" rtl="0">
            <a:defRPr sz="1000"/>
          </a:pPr>
          <a:r>
            <a:rPr lang="en-US" sz="10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Courier New"/>
              <a:cs typeface="Courier New"/>
            </a:rPr>
            <a:t>   1/R</a:t>
          </a:r>
          <a:r>
            <a:rPr lang="en-US" sz="900" b="0" i="0" u="none" strike="noStrike" baseline="-25000">
              <a:solidFill>
                <a:srgbClr val="000000"/>
              </a:solidFill>
              <a:latin typeface="Courier New"/>
              <a:cs typeface="Courier New"/>
            </a:rPr>
            <a:t>total</a:t>
          </a:r>
          <a:r>
            <a:rPr lang="en-US" sz="900" b="0" i="0" u="none" strike="noStrike" baseline="0">
              <a:solidFill>
                <a:srgbClr val="000000"/>
              </a:solidFill>
              <a:latin typeface="Courier New"/>
              <a:cs typeface="Courier New"/>
            </a:rPr>
            <a:t> = 1/R</a:t>
          </a:r>
          <a:r>
            <a:rPr lang="en-US" sz="900" b="0" i="0" u="none" strike="noStrike" baseline="-25000">
              <a:solidFill>
                <a:srgbClr val="000000"/>
              </a:solidFill>
              <a:latin typeface="Courier New"/>
              <a:cs typeface="Courier New"/>
            </a:rPr>
            <a:t>lens</a:t>
          </a:r>
          <a:r>
            <a:rPr lang="en-US" sz="900" b="0" i="0" u="none" strike="noStrike" baseline="0">
              <a:solidFill>
                <a:srgbClr val="000000"/>
              </a:solidFill>
              <a:latin typeface="Courier New"/>
              <a:cs typeface="Courier New"/>
            </a:rPr>
            <a:t> + 1/R</a:t>
          </a:r>
          <a:r>
            <a:rPr lang="en-US" sz="900" b="0" i="0" u="none" strike="noStrike" baseline="-25000">
              <a:solidFill>
                <a:srgbClr val="000000"/>
              </a:solidFill>
              <a:latin typeface="Courier New"/>
              <a:cs typeface="Courier New"/>
            </a:rPr>
            <a:t>film</a:t>
          </a:r>
          <a:r>
            <a:rPr lang="en-US" sz="900" b="0" i="0" u="none" strike="noStrike" baseline="0">
              <a:solidFill>
                <a:srgbClr val="000000"/>
              </a:solidFill>
              <a:latin typeface="Courier New"/>
              <a:cs typeface="Courier New"/>
            </a:rPr>
            <a:t> </a:t>
          </a:r>
          <a:endParaRPr lang="en-US" sz="1000" b="0" i="0" u="none" strike="noStrike" baseline="0">
            <a:solidFill>
              <a:srgbClr val="000000"/>
            </a:solidFill>
            <a:latin typeface="Courier New"/>
            <a:cs typeface="Courier New"/>
          </a:endParaRPr>
        </a:p>
        <a:p>
          <a:pPr algn="l" rtl="0">
            <a:defRPr sz="1000"/>
          </a:pPr>
          <a:r>
            <a:rPr lang="en-US" sz="1000" b="0" i="0" u="none" strike="noStrike" baseline="0">
              <a:solidFill>
                <a:srgbClr val="000000"/>
              </a:solidFill>
              <a:latin typeface="Courier New"/>
              <a:cs typeface="Courier New"/>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there is any merit to using the figure 80 lp/mm for Velvia's resolving power and 180 lp/mm for the Mamiya 80mm lens, we can calculate an equally trustworthy figure for total system resolving power:  </a:t>
          </a:r>
        </a:p>
        <a:p>
          <a:pPr algn="l" rtl="0">
            <a:defRPr sz="1000"/>
          </a:pPr>
          <a:r>
            <a:rPr lang="en-US" sz="10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Courier New"/>
              <a:cs typeface="Courier New"/>
            </a:rPr>
            <a:t>   1/R</a:t>
          </a:r>
          <a:r>
            <a:rPr lang="en-US" sz="900" b="0" i="0" u="none" strike="noStrike" baseline="-25000">
              <a:solidFill>
                <a:srgbClr val="000000"/>
              </a:solidFill>
              <a:latin typeface="Courier New"/>
              <a:cs typeface="Courier New"/>
            </a:rPr>
            <a:t>total</a:t>
          </a:r>
          <a:r>
            <a:rPr lang="en-US" sz="900" b="0" i="0" u="none" strike="noStrike" baseline="0">
              <a:solidFill>
                <a:srgbClr val="000000"/>
              </a:solidFill>
              <a:latin typeface="Courier New"/>
              <a:cs typeface="Courier New"/>
            </a:rPr>
            <a:t> = 1/180 lp/mm + 1/80 lp/mm</a:t>
          </a:r>
        </a:p>
        <a:p>
          <a:pPr algn="l" rtl="0">
            <a:defRPr sz="1000"/>
          </a:pPr>
          <a:r>
            <a:rPr lang="en-US" sz="900" b="0" i="0" u="none" strike="noStrike" baseline="0">
              <a:solidFill>
                <a:srgbClr val="000000"/>
              </a:solidFill>
              <a:latin typeface="Courier New"/>
              <a:cs typeface="Courier New"/>
            </a:rPr>
            <a:t> </a:t>
          </a:r>
        </a:p>
        <a:p>
          <a:pPr algn="l" rtl="0">
            <a:defRPr sz="1000"/>
          </a:pPr>
          <a:r>
            <a:rPr lang="en-US" sz="900" b="0" i="0" u="none" strike="noStrike" baseline="0">
              <a:solidFill>
                <a:srgbClr val="000000"/>
              </a:solidFill>
              <a:latin typeface="Courier New"/>
              <a:cs typeface="Courier New"/>
            </a:rPr>
            <a:t>   R</a:t>
          </a:r>
          <a:r>
            <a:rPr lang="en-US" sz="900" b="0" i="0" u="none" strike="noStrike" baseline="-25000">
              <a:solidFill>
                <a:srgbClr val="000000"/>
              </a:solidFill>
              <a:latin typeface="Courier New"/>
              <a:cs typeface="Courier New"/>
            </a:rPr>
            <a:t>total</a:t>
          </a:r>
          <a:r>
            <a:rPr lang="en-US" sz="900" b="0" i="0" u="none" strike="noStrike" baseline="0">
              <a:solidFill>
                <a:srgbClr val="000000"/>
              </a:solidFill>
              <a:latin typeface="Courier New"/>
              <a:cs typeface="Courier New"/>
            </a:rPr>
            <a:t> = 55.4 lp/mm</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The point to note here is that the combined resolving power is</a:t>
          </a:r>
          <a:r>
            <a:rPr lang="en-US" sz="1000" b="0" i="1" u="none" strike="noStrike" baseline="0">
              <a:solidFill>
                <a:srgbClr val="000000"/>
              </a:solidFill>
              <a:latin typeface="Arial"/>
              <a:cs typeface="Arial"/>
            </a:rPr>
            <a:t> less</a:t>
          </a:r>
          <a:r>
            <a:rPr lang="en-US" sz="1000" b="0" i="0" u="none" strike="noStrike" baseline="0">
              <a:solidFill>
                <a:srgbClr val="000000"/>
              </a:solidFill>
              <a:latin typeface="Arial"/>
              <a:cs typeface="Arial"/>
            </a:rPr>
            <a:t> than the resolving power of either component.  As disconcerting as this may seem, that's the way it works.  There's more bad news:  I do not find this formula to be practical.  I choose to consider it only half-heartedly when comparing it to the calculated Equivalent Resolution at the Film for a specified Maximum Permissible CoC Diameter.  Why?   The reasons are nearly endless if you put your mind to it.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Does a film manufacturer's spec for resolving power at a 1.6:1 contrast ratio accurately model the subjects you shoot?  How about their spec for a contrast ratio of 1000:1?  Some might argue that by using the lowest resolution figure, we will be safe, but that means we will be choosing a Maximum Permissible CoC diameter that's a lot larger than what we could resolve at the higher ratios of local contrast our subjects are likely to contain.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Conversely, if we go with the 1000:1 figure, our CoC's will be a lot smaller at the Near and Far sharps than can be resolved at our typical contrast ratios (something less than 1000:1.)  If you can obtain the aerial resolving power of your lens at various apertures,  you will note that they vary greatly and at any single aperture, there can be significant variation between the center of the lens and the corners.  Are you going to calculate total system resolving power using the lens lpmm at only one aperture?  Which one? The best one?  At the center of the lens?  Do you only shoot at that one aperture and enlarge all your images from the central portion of the frame?  I'm convinced this formula is of little value, at least for our purposes here.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more  accurate approach, though extremely complex, would be to sum the reciprocals of film MTF data with lens MTF data - encompassing multiple apertures, multiple line frequencies, etc.  Even then,  how much faith can I put into all that math when it's crunching test target data which, though useful for making a narrow performance comparison of two lenses, for example, might still fall far short of accurately modeling real subjects?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Where did I get the values 60 lp/mm for B&amp;W film and 45 lp/mm for color?  Empirical observation.  Again, feel free to specify whatever you're comfortable with.  It's truly your choice and the math that follows will honor your choice.</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Eye Resolving Power (or Desired Print Resolution):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Most agree that the human eye can only resolve about 5 lp/mm at a viewing distance of 25cm (9.8 in.).  Many are content to achieve a resolution of 4 lp/mm in the final print.  6 lp/mm is probably sufficient for the most critical work.  This is dependant on the post-crop image diagonal, the estimated system resolving power and the magnification ratio (enlargement factor).  As the film diagonal or system resolving power increases, the resolution at the print will increase.  5 lp/mm at the print is just a suggested goal.  It's perfectly legitimate to allow the resolution to fall below 5 lp/mm - especially when you anticipate minimum viewing distances can be held to distances greater than 9.8 inches.  If the viewing distance will be doubled, you can halve the print resolution, seeking only 2.5 lp/mm for a viewing distance of 19.6 inches, for example.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xdr:colOff>
      <xdr:row>7</xdr:row>
      <xdr:rowOff>76200</xdr:rowOff>
    </xdr:from>
    <xdr:to>
      <xdr:col>10</xdr:col>
      <xdr:colOff>603250</xdr:colOff>
      <xdr:row>32</xdr:row>
      <xdr:rowOff>133350</xdr:rowOff>
    </xdr:to>
    <xdr:sp macro="" textlink="">
      <xdr:nvSpPr>
        <xdr:cNvPr id="6145" name="Text 6">
          <a:extLst>
            <a:ext uri="{FF2B5EF4-FFF2-40B4-BE49-F238E27FC236}">
              <a16:creationId xmlns:a16="http://schemas.microsoft.com/office/drawing/2014/main" id="{DCB91B54-5406-456E-A965-4181C8CF124D}"/>
            </a:ext>
          </a:extLst>
        </xdr:cNvPr>
        <xdr:cNvSpPr txBox="1">
          <a:spLocks noChangeArrowheads="1"/>
        </xdr:cNvSpPr>
      </xdr:nvSpPr>
      <xdr:spPr bwMode="auto">
        <a:xfrm>
          <a:off x="622300" y="1187450"/>
          <a:ext cx="6076950" cy="4178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4:</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Specification of Print Dimensions is not required for DoF calculations.  It </a:t>
          </a:r>
          <a:r>
            <a:rPr lang="en-US" sz="1000" b="1" i="1" u="none" strike="noStrike" baseline="0">
              <a:solidFill>
                <a:srgbClr val="000000"/>
              </a:solidFill>
              <a:latin typeface="Arial"/>
              <a:cs typeface="Arial"/>
            </a:rPr>
            <a:t>is</a:t>
          </a:r>
          <a:r>
            <a:rPr lang="en-US" sz="1000" b="1" i="0" u="none" strike="noStrike" baseline="0">
              <a:solidFill>
                <a:srgbClr val="000000"/>
              </a:solidFill>
              <a:latin typeface="Arial"/>
              <a:cs typeface="Arial"/>
            </a:rPr>
            <a:t> required for matching the Maximum Permissible Diameter for Circles of Confusion to the Print Resolution.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Please note that you can choose to specify any print dimensions you desire here in Step 4, but</a:t>
          </a:r>
          <a:r>
            <a:rPr lang="en-US" sz="1000" b="0" i="0" u="none" strike="noStrike" baseline="0">
              <a:solidFill>
                <a:srgbClr val="000000"/>
              </a:solidFill>
              <a:latin typeface="Arial"/>
              <a:cs typeface="Arial"/>
            </a:rPr>
            <a:t> </a:t>
          </a:r>
          <a:r>
            <a:rPr lang="en-US" sz="1000" b="1" i="1" u="none" strike="noStrike" baseline="0">
              <a:solidFill>
                <a:srgbClr val="000000"/>
              </a:solidFill>
              <a:latin typeface="Arial"/>
              <a:cs typeface="Arial"/>
            </a:rPr>
            <a:t>make sure the print dimensions you provide match the aspect ratio you had in mind when you specified the size of your image diagonal here in Step 2! </a:t>
          </a:r>
          <a:r>
            <a:rPr lang="en-US" sz="1000" b="1" i="0" u="none" strike="noStrike" baseline="0">
              <a:solidFill>
                <a:srgbClr val="000000"/>
              </a:solidFill>
              <a:latin typeface="Arial"/>
              <a:cs typeface="Arial"/>
            </a:rPr>
            <a:t> If you change the print dimensions from 8x10 to 11x14, for example, you should have also changed your image diagonal in Step 2.</a:t>
          </a:r>
          <a:r>
            <a:rPr lang="en-US" sz="1000" b="0" i="0" u="none" strike="noStrike" baseline="0">
              <a:solidFill>
                <a:srgbClr val="000000"/>
              </a:solidFill>
              <a:latin typeface="Arial"/>
              <a:cs typeface="Arial"/>
            </a:rPr>
            <a:t>  </a:t>
          </a:r>
          <a:endParaRPr lang="en-US" sz="1000" b="1" i="0" u="none" strike="noStrike" baseline="0">
            <a:solidFill>
              <a:srgbClr val="000000"/>
            </a:solidFill>
            <a:latin typeface="Arial"/>
            <a:cs typeface="Arial"/>
          </a:endParaRPr>
        </a:p>
        <a:p>
          <a:pPr algn="l" rtl="0">
            <a:defRPr sz="1000"/>
          </a:pPr>
          <a:endParaRPr lang="en-US" sz="1000" b="1" i="1"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You do not have to use one of the Recommended Maximum Dimensions (for a given Aspect Ratio.)  Those are provided only for the purpose of identifying just how large a print you can make without exceeding the Eye Resolving Power (or Desired Resolution at the Print.)  If you want to specify a custom aspect ratio, it will generate Recommended Maximum Dimensions for that ratio as well.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These values may impact your choice for the Maximum Permissible Circle of Confusion Diameter, used to calculate the Depth of Field tables below.  You can repeat this process multiple times, to calculate DoF tables for various print dimensions, but I recommend you begin by finding the largest print dimensions that deliver a Print Resolution equal to your specified Estimate of Eye Resolving Power (i.e. 5 lp/mm.)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print dimensions you specify here do not directly impact the Depth of Field tables calculated below.  You will control how aggressive your Depth of Field tables are by adjusting the Maximum Permissible Circle of Confusion Diameter, manually matching it (if you wish) to the calculated Print Resolution.</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7</xdr:row>
      <xdr:rowOff>88900</xdr:rowOff>
    </xdr:from>
    <xdr:to>
      <xdr:col>11</xdr:col>
      <xdr:colOff>0</xdr:colOff>
      <xdr:row>133</xdr:row>
      <xdr:rowOff>133350</xdr:rowOff>
    </xdr:to>
    <xdr:sp macro="" textlink="">
      <xdr:nvSpPr>
        <xdr:cNvPr id="7169" name="Text 7">
          <a:extLst>
            <a:ext uri="{FF2B5EF4-FFF2-40B4-BE49-F238E27FC236}">
              <a16:creationId xmlns:a16="http://schemas.microsoft.com/office/drawing/2014/main" id="{BB517410-2590-489A-B5A5-08161602E829}"/>
            </a:ext>
          </a:extLst>
        </xdr:cNvPr>
        <xdr:cNvSpPr txBox="1">
          <a:spLocks noChangeArrowheads="1"/>
        </xdr:cNvSpPr>
      </xdr:nvSpPr>
      <xdr:spPr bwMode="auto">
        <a:xfrm>
          <a:off x="622300" y="1200150"/>
          <a:ext cx="6083300" cy="2019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5:</a:t>
          </a: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Specification of the Maximum Permissible Circle of Confusion Diameter is required for DoF calculations.   Adherence to Tips 1 and 2 is required </a:t>
          </a:r>
          <a:r>
            <a:rPr lang="en-US" sz="1000" b="1" i="1" u="none" strike="noStrike" baseline="0">
              <a:solidFill>
                <a:srgbClr val="000000"/>
              </a:solidFill>
              <a:latin typeface="Arial"/>
              <a:cs typeface="Arial"/>
            </a:rPr>
            <a:t>only</a:t>
          </a:r>
          <a:r>
            <a:rPr lang="en-US" sz="1000" b="1" i="0" u="none" strike="noStrike" baseline="0">
              <a:solidFill>
                <a:srgbClr val="000000"/>
              </a:solidFill>
              <a:latin typeface="Arial"/>
              <a:cs typeface="Arial"/>
            </a:rPr>
            <a:t> for matching the Maximum Permissible Diameter for Circles of Confusion to the Eye Resolution, to the System Resolution at the Print or to Both (See Examples 1, 2 and 3, respectively.)</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Specify the denominator for a fraction of an inch.  For example, a value of 175 would specify a diameter of 1/175th of an inch as the Maximum Permissible Diameter for CoC's after magnification to the standard 10-in. diagonal print.  This standard, or convention, allows CoC comparison across various formats and croppings.  (See "A Closer Look at Choosing CoC Diameters" below.)</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Please understand that Lens Focal Length (Step 1), Format Diagonal (Step 2), and the Maximum Permissible CoC Diameter (here in Step 5) are the ONLY variables that actually affect calculation of the Depth of Field Tables.  Steps 3 and  4, as well as the Tips here in Step 5 are just optional aids for guiding you in the selection of a Max. CoC diameter.   You can ignore Steps 3 and 4 if you want to, specifying the Max CoC Diameter of your choice here in Step 5, without attempting to match it to a Desired Print Resolution.  (See Example 4.)</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Tip 1:</a:t>
          </a:r>
          <a:r>
            <a:rPr lang="en-US" sz="1000" b="0" i="0" u="none" strike="noStrike" baseline="0">
              <a:solidFill>
                <a:srgbClr val="000000"/>
              </a:solidFill>
              <a:latin typeface="Arial"/>
              <a:cs typeface="Arial"/>
            </a:rPr>
            <a:t>  To avoid wasting useful Depth of Field, do not specify a Maximum Permissible CoC Diameter smaller (having a larger denominator) than can be resolved by the human eye, after magnification to the Final Print  dimensions. The Final Print CoC Diameter, expressed as lpmm (red value here, in Step 5), does not have to exceed 5 lp/mm, for example.  Even if the chosen print dimensions result in a Print Resolution (red value above, in Step 4) greater than 5 lp/mm, it doesn't make sense to waste Depth of Field trying to match that resolution when selecting your Maximum Permissible CoC Diameter.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Tip 2:</a:t>
          </a:r>
          <a:r>
            <a:rPr lang="en-US" sz="1000" b="0" i="0" u="none" strike="noStrike" baseline="0">
              <a:solidFill>
                <a:srgbClr val="000000"/>
              </a:solidFill>
              <a:latin typeface="Arial"/>
              <a:cs typeface="Arial"/>
            </a:rPr>
            <a:t>  To avoid wasting useful Depth of Field, do not specify a Maximum Permissible CoC Diameter smaller (having a larger denominator) than the system can resolve after magnification to the chosen print dimensions.  There is no need to follow Tip 1, striving for Maximum CoC Diameters equivalent to 5 lp/mm in the final print (for example), if the Print Resolution (red value above, in Step 4) is something less than 5 lp/mm.</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beauty of this two-fold strategy is this:   First, your Depth of Field will increase as your print dimensions are decreased, all the while maintaining CoC diameters than can survive scrutiny at a viewing distance of 9.8 inches (25cm.)   Second, as print dimensions increase to sizes that force print resolution below 5 lp/mm, you won't be limiting your Depth of Field in a fruitless effort to hold the Maximum CoC's to diameters that can't be resolved on print. To see the impact of this, just compare the DoF tables generated for 4x5 prints vs. 16x20 prints, for any format (while following the Tips, of course.)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 Closer Look at Choosing CoC Diameters (See Example 4):</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Quoting page 131 of "Basic Photographic Materials and Processes" by Stroebel, Compton, Current and Zakia (c1990 Focal Press):  </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"Permissible circles of confusion are generally specified for a viewing distance of 10 inches, and  1/100 inch is commonly sited as an appropriate value for the diameter.  A study involving a small  sample of cameras designed for advanced amateurs and professional photographers revealed that values ranging from 1/70 to 1/200 inch were used -- approximately a 3:1 ratio."  </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Please note that you are specifying the permissible diameter at the print, not at the film - specifically, in a 10-inch diagonal print to be viewed at a distance of 10 inches.  Don't be concerned about this "standard" print size not matching your intended enlargement sizes.  Any print viewed at a distance equal to the print diagonal will have the very same illusion of Depth of Field as this "standard" print. This standard makes several things possible: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35mm photographer can produce two DoF tables for each lens - one for images that will be printed full frame (2:3 aspect ratio) and one for images that will be printed to a 4:5 aspect ratio.  Using the appropriate table in the field, all the prints will have the same illusion of DoF when viewed at a distance equal to the print diagonal.  Note that this is an entirely different approach than insisting that EVERY print tolerate examination at 25cm (9.8 inches).  You'll have to decide which approach is most appealing to you. Examples 1, 2 and 3, below, illustrate use of the features which allow you to tune the DoF tables to specific print dimensions for viewing at a distance 25cm (9.8 inches.  Example 4, below, illustrates use of a single Maximum Permissible CoC Diameter to calculate all your DoF tables, with the understanding that every print should be viewed at a distance equal to its diagonal.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Following the single CoC convention, a photographer who shoots multiple formats will find that having chosen a Maximum CoC Diameter while conducting tests with one format, that same Maximum CoC Diameter will produce identical results with other formats - assuming the viewing  distance is always proportional to print diagonal.  Lastly, any two photographers who calculate their DoF tables specifying a Maximum CoC Diameter after magnification to the Standard 10-inch print will be able to discuss their preferences for DoF meaningfully.  If I shoot 35mm and you  shoot 6x7, you'll know how aggressive my tables are when I say I prefer Maximum CoC Diameters of 1/200-inch in the standard print.  </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This calculator takes into account the difference in magnification from one format to another.  If you select 1/175 inch (in the standard print) for example, you would get the following CoC diameters at the film plane for these formats: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r>
            <a:rPr lang="en-US" sz="1000" b="0" i="0" u="none" strike="noStrike" baseline="0">
              <a:solidFill>
                <a:srgbClr val="000000"/>
              </a:solidFill>
              <a:latin typeface="Courier New"/>
              <a:cs typeface="Courier New"/>
            </a:rPr>
            <a:t>Format       Diagonal      Circle of Confusion at the Film</a:t>
          </a:r>
        </a:p>
        <a:p>
          <a:pPr algn="l" rtl="0">
            <a:defRPr sz="1000"/>
          </a:pPr>
          <a:r>
            <a:rPr lang="en-US" sz="1000" b="0" i="0" u="none" strike="noStrike" baseline="0">
              <a:solidFill>
                <a:srgbClr val="000000"/>
              </a:solidFill>
              <a:latin typeface="Courier New"/>
              <a:cs typeface="Courier New"/>
            </a:rPr>
            <a:t>    </a:t>
          </a:r>
        </a:p>
        <a:p>
          <a:pPr algn="l" rtl="0">
            <a:defRPr sz="1000"/>
          </a:pPr>
          <a:r>
            <a:rPr lang="en-US" sz="1000" b="0" i="0" u="none" strike="noStrike" baseline="0">
              <a:solidFill>
                <a:srgbClr val="000000"/>
              </a:solidFill>
              <a:latin typeface="Courier New"/>
              <a:cs typeface="Courier New"/>
            </a:rPr>
            <a:t>   35 mm        43.27 mm        0.024724 mm</a:t>
          </a:r>
        </a:p>
        <a:p>
          <a:pPr algn="l" rtl="0">
            <a:defRPr sz="1000"/>
          </a:pPr>
          <a:r>
            <a:rPr lang="en-US" sz="1000" b="0" i="0" u="none" strike="noStrike" baseline="0">
              <a:solidFill>
                <a:srgbClr val="000000"/>
              </a:solidFill>
              <a:latin typeface="Courier New"/>
              <a:cs typeface="Courier New"/>
            </a:rPr>
            <a:t>  6x7 cm        92.20 mm        0.052683 mm</a:t>
          </a:r>
        </a:p>
        <a:p>
          <a:pPr algn="l" rtl="0">
            <a:defRPr sz="1000"/>
          </a:pPr>
          <a:r>
            <a:rPr lang="en-US" sz="1000" b="0" i="0" u="none" strike="noStrike" baseline="0">
              <a:solidFill>
                <a:srgbClr val="000000"/>
              </a:solidFill>
              <a:latin typeface="Courier New"/>
              <a:cs typeface="Courier New"/>
            </a:rPr>
            <a:t>  4x5 in       162.64 mm        0.092937 mm</a:t>
          </a:r>
        </a:p>
        <a:p>
          <a:pPr algn="l" rtl="0">
            <a:defRPr sz="1000"/>
          </a:pPr>
          <a:r>
            <a:rPr lang="en-US" sz="1000" b="0" i="0" u="none" strike="noStrike" baseline="0">
              <a:solidFill>
                <a:srgbClr val="000000"/>
              </a:solidFill>
              <a:latin typeface="Courier New"/>
              <a:cs typeface="Courier New"/>
            </a:rPr>
            <a:t>  5x7 in       218.50 mm        0.124857 mm</a:t>
          </a:r>
        </a:p>
        <a:p>
          <a:pPr algn="l" rtl="0">
            <a:defRPr sz="1000"/>
          </a:pPr>
          <a:r>
            <a:rPr lang="en-US" sz="1000" b="0" i="0" u="none" strike="noStrike" baseline="0">
              <a:solidFill>
                <a:srgbClr val="000000"/>
              </a:solidFill>
              <a:latin typeface="Courier New"/>
              <a:cs typeface="Courier New"/>
            </a:rPr>
            <a:t> 8x10 in       325.28 mm        0.185874 mm</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To confirm the Maximum Permissible CoC Diameter that suits your needs, start by calculating and printing a single DoF table for one combination of focal length, format diagonal and print size, (at least 8x10).  Specify the diagonal after cropping.  If you intend to make 8x10 prints you can't calculate tables using the full frame diagonal for 35mm.  (4:5 aspect ratio vs. 2:3.)  Then  shoot a roll of film (or a few sheets) with a different subject for each exposure, but choose subjects that are truly 3-dimensional and position the camera at a distance from the nearest subject that is precisely equal to the calculated Near Sharp for the aperture at which you are shooting.  Shooting with wider apertures will produce images that are easier to "read" when evaluating Depth of Field.  You don't have to keep a log of your shots.  Just make sure EVERY image is taken with strict adherence to the printed table, using a tape measure if necessary to place the nearest subject right at the calculated Near Sharp for your chosen aperture.  This nearest subject and subjects at Infinity will be the targets you will examine later to evaluate the CoC diameter being tested.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Print your images at the size for which calculations were done, then examine them at a distance of 9.8 inches (25cm) (if that's your game plan) or at a distance equal to the print diagonal (if that's your preference).   Viewing distances should be measured from equidistant corners of the print to your eye, not from the center of the print along a line perpendicular to the surface.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Do you like what you see?  If you want smaller CoC's at the Near and Far Sharps, just print a DoF table for that same format/focal length/cropping using a smaller Maximum Permissible Diameter for CoC's (larger denominator).  Note:  If you used Steps 3 and 4 and followed Tips 1 &amp; 2 (in Step 5) when selecting your CoC Diameter, but observe that a smaller CoC Diameter can be appreciated (larger denominator), the value you specified for Estimated System Resolution should be increased.  If instead, you are trying to identify a single, all-purpose Maximum Permissible CoC Diameter (Example 4), you might have to do two or three rounds of testing to identify what's is  "Permissible" or acceptable to your eye.  It's YOUR choice!  Enjoy the control this gives you.  The math will deliver consistent, reproducable results once you've tuned it.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Do consider the lack of film flatness.  These tables can become impractical if you do not build in a margin of safety to accommodate the fact that film is seldom held in a perfect plane within the camera or sheet film holder.  This problem increases with format size.  Look for lack of uniformity in your test shots.  If you are content with the results you are getting at a particular CoC diameter, you will likely continue to be satisfied, assuming your backs or holders perform equally.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Some people are making much larger prints using digital printing techniques.  A 35mm Velvia slide, scanned with the best equipment, can easily be printed to 20x30 using a LightJet printer,  employing sharpening tools like PhotoShop's unsharp mask filter.  If you intend to do such extremely high-quality (and high-cost) printing, be careful how that influences the decisions you are making here.  You can not rob the film of data and expect digital printing techniques to compensate that while simultaneously delivering larger prints.  If your intention is to make only an 11x14 LightJet print from a 35mm slide, for example, then it might be safe to increase your Maximum CoC diameters a bit, to enjoy more Depth of Field.  Take notes.  Find out what works.  Adjust the Maximum Permissible CoC diameter accordingly.</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69850</xdr:rowOff>
    </xdr:from>
    <xdr:to>
      <xdr:col>10</xdr:col>
      <xdr:colOff>603250</xdr:colOff>
      <xdr:row>20</xdr:row>
      <xdr:rowOff>114300</xdr:rowOff>
    </xdr:to>
    <xdr:sp macro="" textlink="">
      <xdr:nvSpPr>
        <xdr:cNvPr id="8193" name="Text 10">
          <a:extLst>
            <a:ext uri="{FF2B5EF4-FFF2-40B4-BE49-F238E27FC236}">
              <a16:creationId xmlns:a16="http://schemas.microsoft.com/office/drawing/2014/main" id="{35597B2D-3F13-4ECB-9C35-CB8E930A8BBC}"/>
            </a:ext>
          </a:extLst>
        </xdr:cNvPr>
        <xdr:cNvSpPr txBox="1">
          <a:spLocks noChangeArrowheads="1"/>
        </xdr:cNvSpPr>
      </xdr:nvSpPr>
      <xdr:spPr bwMode="auto">
        <a:xfrm>
          <a:off x="609600" y="1181100"/>
          <a:ext cx="6089650" cy="2114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6:</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This is the Minimum Distance at which the eye will perceive the equivalent of your specified Eye Resolution (i.e. 5 lp/mm), or better, in the final print, for both the Maximum CoC Diameters and the print resolution itself.  In other words, the Recommended Minimum Viewing Distance is the </a:t>
          </a:r>
        </a:p>
        <a:p>
          <a:pPr algn="l" rtl="0">
            <a:defRPr sz="1000"/>
          </a:pPr>
          <a:r>
            <a:rPr lang="en-US" sz="1000" b="1" i="0" u="none" strike="noStrike" baseline="0">
              <a:solidFill>
                <a:srgbClr val="000000"/>
              </a:solidFill>
              <a:latin typeface="Arial"/>
              <a:cs typeface="Arial"/>
            </a:rPr>
            <a:t>distance which simulates a 5 lp/mm resolution when viewed at only 25cm (if 5 lp/mm is your specified Eye Resolution.)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Recommended Minimum Viewing Distance is calculated by taking the larger of two candidate values:  25cm times the ratio of Eye Resolution to System Resolution  -or-  25cm times the ratio of Eye Resolution to Maximum Permissible CoC Diameter (expressed in lp/mm).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495300</xdr:colOff>
      <xdr:row>7</xdr:row>
      <xdr:rowOff>95250</xdr:rowOff>
    </xdr:from>
    <xdr:to>
      <xdr:col>10</xdr:col>
      <xdr:colOff>488950</xdr:colOff>
      <xdr:row>178</xdr:row>
      <xdr:rowOff>57150</xdr:rowOff>
    </xdr:to>
    <xdr:sp macro="" textlink="">
      <xdr:nvSpPr>
        <xdr:cNvPr id="9217" name="Text 8">
          <a:extLst>
            <a:ext uri="{FF2B5EF4-FFF2-40B4-BE49-F238E27FC236}">
              <a16:creationId xmlns:a16="http://schemas.microsoft.com/office/drawing/2014/main" id="{B38CC627-5711-418C-BCEF-5454B2B5C3AF}"/>
            </a:ext>
          </a:extLst>
        </xdr:cNvPr>
        <xdr:cNvSpPr txBox="1">
          <a:spLocks noChangeArrowheads="1"/>
        </xdr:cNvSpPr>
      </xdr:nvSpPr>
      <xdr:spPr bwMode="auto">
        <a:xfrm>
          <a:off x="495300" y="1206500"/>
          <a:ext cx="6089650" cy="27139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7:</a:t>
          </a: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7a: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The effects of diffraction will become visible at this and smaller apertures.</a:t>
          </a: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is our Minimum Working Aperture - the aperture at which diffraction's Airy Disk diameters will equal the Permissible CoC Diameter.  Stopping down to the calculated aperture (or smaller apertures) will induce visible diffraction that negates any increase in DoF you might be seeking.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f-stop will produce diffraction disks that are the same diameter as the maximum tolerable circles of confusion for this format.  Moving to a larger f-number (smaller aperture) will increase the depth of field, but the effects of diffraction will become visible in prints viewed at the intended viewing distance (25 cm if you matched Max. CoC Diameter to Print Resolution) or equal to the print diagonal if your CoC diameter was chosen with that intention.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Using a smaller f-number (larger aperture) than the calculated value will not visibly decrease the effects of diffraction.</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Was This Minimum Working Aperture Calculated?</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For a chosen Permissible CoC Diameter of 1/175-inch in the standard 10-inch diagonal print, the maximum tolerable diameter of CoC's for a given format can be calculated as the format diagonal divided by 1750, for example (175 circles per inch times 10 inches = 1750.)  The diameter of diffraction disks (mm.) is calculated as 0.00135383 * f-number.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John B. Williams authored a book called *Image Clarity, High-Resolution Photography* that has a discussion of diffraction.  He gives the following formula that calculates the radius (r) of an Airy disk.  (G.B. Airy is the astronomer who discovered diffraction in 1890 and diffraction's disks are named after him, Airy, not airy.)  I can't type a lambda, so I have substituted a "w" in the formula below, for wavelength.  "f" is for focal length and "a" is for diameter of the aperture.  </a:t>
          </a:r>
        </a:p>
        <a:p>
          <a:pPr algn="l" rtl="0">
            <a:defRPr sz="1000"/>
          </a:pP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Courier New"/>
              <a:cs typeface="Courier New"/>
            </a:rPr>
            <a:t>   r = 1.22w(f/a)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OK,  f/a can be renamed N where N is the familiar f-number that describes the ratio of focal length to aperture diameter.  That gives us this:</a:t>
          </a:r>
        </a:p>
        <a:p>
          <a:pPr algn="l" rtl="0">
            <a:defRPr sz="1000"/>
          </a:pP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Courier New"/>
              <a:cs typeface="Courier New"/>
            </a:rPr>
            <a:t>   r = 1.22wN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 his book, Williams selects 0.0005 mm as an average wavelength of light, but I prefer 0.000555 mm, or 555 nanometers as being the wavelength that is dead center in the spectrum of sensitivity.  It happens to be a nice yellow-green, not far from William's choice anyway.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OK, moving on, that gives us this formula, using 555 nanometers for all future calculations.</a:t>
          </a:r>
        </a:p>
        <a:p>
          <a:pPr algn="l" rtl="0">
            <a:defRPr sz="1000"/>
          </a:pP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Courier New"/>
              <a:cs typeface="Courier New"/>
            </a:rPr>
            <a:t>   r = 1.22 * 0.000555 * N</a:t>
          </a:r>
          <a:endParaRPr lang="en-US" sz="1000" b="0" i="0" u="none" strike="noStrike" baseline="0">
            <a:solidFill>
              <a:srgbClr val="000000"/>
            </a:solidFill>
            <a:latin typeface="Courier New"/>
            <a:cs typeface="Courier New"/>
          </a:endParaRPr>
        </a:p>
        <a:p>
          <a:pPr algn="l" rtl="0">
            <a:defRPr sz="1000"/>
          </a:pPr>
          <a:endParaRPr lang="en-US" sz="900" b="0" i="0" u="none" strike="noStrike" baseline="0">
            <a:solidFill>
              <a:srgbClr val="000000"/>
            </a:solidFill>
            <a:latin typeface="Courier New"/>
            <a:cs typeface="Courier New"/>
          </a:endParaRPr>
        </a:p>
        <a:p>
          <a:pPr algn="l" rtl="0">
            <a:defRPr sz="1000"/>
          </a:pPr>
          <a:r>
            <a:rPr lang="en-US" sz="900" b="0" i="0" u="none" strike="noStrike" baseline="0">
              <a:solidFill>
                <a:srgbClr val="000000"/>
              </a:solidFill>
              <a:latin typeface="Courier New"/>
              <a:cs typeface="Courier New"/>
            </a:rPr>
            <a:t>   </a:t>
          </a:r>
          <a:r>
            <a:rPr lang="en-US" sz="1000" b="0" i="0" u="none" strike="noStrike" baseline="0">
              <a:solidFill>
                <a:srgbClr val="000000"/>
              </a:solidFill>
              <a:latin typeface="Courier New"/>
              <a:cs typeface="Courier New"/>
            </a:rPr>
            <a:t>r</a:t>
          </a:r>
          <a:r>
            <a:rPr lang="en-US" sz="900" b="0" i="0" u="none" strike="noStrike" baseline="0">
              <a:solidFill>
                <a:srgbClr val="000000"/>
              </a:solidFill>
              <a:latin typeface="Courier New"/>
              <a:cs typeface="Courier New"/>
            </a:rPr>
            <a:t> =  0.0006771 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To convert this formula to diameter (d) instead of radius (r):</a:t>
          </a:r>
        </a:p>
        <a:p>
          <a:pPr algn="l" rtl="0">
            <a:defRPr sz="1000"/>
          </a:pP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Courier New"/>
              <a:cs typeface="Courier New"/>
            </a:rPr>
            <a:t>   2 * r = 2 * 0.0006771 N</a:t>
          </a:r>
          <a:endParaRPr lang="en-US" sz="1000" b="0" i="0" u="none" strike="noStrike" baseline="0">
            <a:solidFill>
              <a:srgbClr val="000000"/>
            </a:solidFill>
            <a:latin typeface="Courier New"/>
            <a:cs typeface="Courier New"/>
          </a:endParaRPr>
        </a:p>
        <a:p>
          <a:pPr algn="l" rtl="0">
            <a:defRPr sz="1000"/>
          </a:pPr>
          <a:endParaRPr lang="en-US" sz="1000" b="0" i="0" u="none" strike="noStrike" baseline="0">
            <a:solidFill>
              <a:srgbClr val="000000"/>
            </a:solidFill>
            <a:latin typeface="Courier New"/>
            <a:cs typeface="Courier New"/>
          </a:endParaRPr>
        </a:p>
        <a:p>
          <a:pPr algn="l" rtl="0">
            <a:defRPr sz="1000"/>
          </a:pPr>
          <a:r>
            <a:rPr lang="en-US" sz="1000" b="0" i="0" u="none" strike="noStrike" baseline="0">
              <a:solidFill>
                <a:srgbClr val="000000"/>
              </a:solidFill>
              <a:latin typeface="Courier New"/>
              <a:cs typeface="Courier New"/>
            </a:rPr>
            <a:t>   </a:t>
          </a:r>
          <a:r>
            <a:rPr lang="en-US" sz="900" b="0" i="0" u="none" strike="noStrike" baseline="0">
              <a:solidFill>
                <a:srgbClr val="000000"/>
              </a:solidFill>
              <a:latin typeface="Courier New"/>
              <a:cs typeface="Courier New"/>
            </a:rPr>
            <a:t>d = 0.0013542 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is the diameter of the Airy disk, in millimeters.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It was at about this point that I decided I didn't like the fact that William's formula has so few significant digits in the constant 1.22, so I went searching and found a longer, more accurate version of it and here it is -- infinitely accurate:</a:t>
          </a:r>
        </a:p>
        <a:p>
          <a:pPr algn="l" rtl="0">
            <a:defRPr sz="1000"/>
          </a:pPr>
          <a:r>
            <a:rPr lang="en-US" sz="900" b="0" i="0" u="none" strike="noStrike" baseline="0">
              <a:solidFill>
                <a:srgbClr val="000000"/>
              </a:solidFill>
              <a:latin typeface="Courier New"/>
              <a:cs typeface="Courier New"/>
            </a:rPr>
            <a:t>        __</a:t>
          </a:r>
        </a:p>
        <a:p>
          <a:pPr algn="l" rtl="0">
            <a:defRPr sz="1000"/>
          </a:pPr>
          <a:r>
            <a:rPr lang="en-US" sz="900" b="0" i="0" u="none" strike="noStrike" baseline="0">
              <a:solidFill>
                <a:srgbClr val="000000"/>
              </a:solidFill>
              <a:latin typeface="Courier New"/>
              <a:cs typeface="Courier New"/>
            </a:rPr>
            <a:t>   1.21966   (66 repeating)</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Not much different from 1.22, but it does change my formula for diameter of an Airy disk to:</a:t>
          </a:r>
        </a:p>
        <a:p>
          <a:pPr algn="l" rtl="0">
            <a:defRPr sz="1000"/>
          </a:pP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Courier New"/>
              <a:cs typeface="Courier New"/>
            </a:rPr>
            <a:t>   d = 0.00135383 N    =    N / 738.65</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Which is very close to the oft-used N / 750.</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constant 0.00135383 assumes a wavelength of 555 nanometers, not 550 nanometers.)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Using 1/175 inch as an example of our choice for the maximum tolerable diameter of circles of confusion, there would be 1750 circles set end to end along the print diagonal there would be 1750 circles set end to end along a print diagonal that is 10-inches long.  As discussed above, the diameter of Airy disks is calculated as 0.00135383 * f-number.</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If we can calculate the aperture at which Airy disks become 1/175 inch diameter when the format is enlarged or reduced to a 10-inch diagonal print, we will know the aperture at which it is pointless to make circles of confusion any smaller than 1/175 inch.  This will be the aperture at which a quest for more Depth of Field should be conducted using techniques other than going to a smaller aperture (increasing the subject distance, using tilts and swings, etc.)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Here we go: To set the size of the Airy disks equal to (and no larger than) the tolerable diameter for circles of confusion for any format after magnification or reduction to a 10-inch diagonal print to be viewed at 10 inches, I just have to equate to 1 the quotient had when circles of confusion diameter is divided by Airy disk diameter, then reduce.</a:t>
          </a:r>
        </a:p>
        <a:p>
          <a:pPr algn="l" rtl="0">
            <a:defRPr sz="1000"/>
          </a:pP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Courier New"/>
              <a:cs typeface="Courier New"/>
            </a:rPr>
            <a:t>   1 = (Format Diagonal</a:t>
          </a:r>
          <a:r>
            <a:rPr lang="en-US" sz="1000" b="0" i="0" u="none" strike="noStrike" baseline="-25000">
              <a:solidFill>
                <a:srgbClr val="000000"/>
              </a:solidFill>
              <a:latin typeface="Courier New"/>
              <a:cs typeface="Courier New"/>
            </a:rPr>
            <a:t>on film (mm)</a:t>
          </a:r>
          <a:r>
            <a:rPr lang="en-US" sz="900" b="0" i="0" u="none" strike="noStrike" baseline="0">
              <a:solidFill>
                <a:srgbClr val="000000"/>
              </a:solidFill>
              <a:latin typeface="Courier New"/>
              <a:cs typeface="Courier New"/>
            </a:rPr>
            <a:t> / 1750) / (0.00135383 * f-number)</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or</a:t>
          </a:r>
        </a:p>
        <a:p>
          <a:pPr algn="l" rtl="0">
            <a:defRPr sz="1000"/>
          </a:pP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Courier New"/>
              <a:cs typeface="Courier New"/>
            </a:rPr>
            <a:t>   f-number = Format Diagonal</a:t>
          </a:r>
          <a:r>
            <a:rPr lang="en-US" sz="1000" b="0" i="0" u="none" strike="noStrike" baseline="-25000">
              <a:solidFill>
                <a:srgbClr val="000000"/>
              </a:solidFill>
              <a:latin typeface="Courier New"/>
              <a:cs typeface="Courier New"/>
            </a:rPr>
            <a:t>on film (mm)</a:t>
          </a:r>
          <a:r>
            <a:rPr lang="en-US" sz="900" b="0" i="0" u="none" strike="noStrike" baseline="0">
              <a:solidFill>
                <a:srgbClr val="000000"/>
              </a:solidFill>
              <a:latin typeface="Courier New"/>
              <a:cs typeface="Courier New"/>
            </a:rPr>
            <a:t> / 2.3692</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Tah-dah!  My formula makes two assumptions.  This constant is specific for yellow-green light at 555 nanometers and we don't want our Airy disks to exceed 1/175-inch on a 10-inch print viewed at 10 inches.  You may modify the constant proportionately if you want to change the values 0.000555 for wavelength or 1750 for the number of Airy disks set end-to-end along a 10-inch diagonal print.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Here's the formula modified to allow specification of a diameter other than 1/175-inch:</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r>
            <a:rPr lang="en-US" sz="900" b="0" i="0" u="none" strike="noStrike" baseline="0">
              <a:solidFill>
                <a:srgbClr val="000000"/>
              </a:solidFill>
              <a:latin typeface="Courier New"/>
              <a:cs typeface="Courier New"/>
            </a:rPr>
            <a:t>f-number = (Format Diagonal</a:t>
          </a:r>
          <a:r>
            <a:rPr lang="en-US" sz="1000" b="0" i="0" u="none" strike="noStrike" baseline="-25000">
              <a:solidFill>
                <a:srgbClr val="000000"/>
              </a:solidFill>
              <a:latin typeface="Courier New"/>
              <a:cs typeface="Courier New"/>
            </a:rPr>
            <a:t>on film (mm) </a:t>
          </a:r>
          <a:r>
            <a:rPr lang="en-US" sz="900" b="0" i="0" u="none" strike="noStrike" baseline="0">
              <a:solidFill>
                <a:srgbClr val="000000"/>
              </a:solidFill>
              <a:latin typeface="Courier New"/>
              <a:cs typeface="Courier New"/>
            </a:rPr>
            <a:t>/ 0.00135383) * Max. CoC Diameter</a:t>
          </a:r>
          <a:r>
            <a:rPr lang="en-US" sz="1000" b="0" i="0" u="none" strike="noStrike" baseline="-25000">
              <a:solidFill>
                <a:srgbClr val="000000"/>
              </a:solidFill>
              <a:latin typeface="Courier New"/>
              <a:cs typeface="Courier New"/>
            </a:rPr>
            <a:t>in 10-in Std. Print (in)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When you change the specified value for Maximum Permissible Circle of Confusion Diameter, the visible diffraction f-stop is recalculated along with the DoF tables, to produce Airy disks no larger than the chosen value for Maximum Permissible CoC diameter.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simpler formula for calculating this Minimum Working Aperture, at which Airy disk diameter equals Maximum Permissible CoC diameter is this: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r>
            <a:rPr lang="en-US" sz="900" b="0" i="0" u="none" strike="noStrike" baseline="0">
              <a:solidFill>
                <a:srgbClr val="000000"/>
              </a:solidFill>
              <a:latin typeface="Courier New"/>
              <a:cs typeface="Courier New"/>
            </a:rPr>
            <a:t>f-number = Max. CoC Diameter </a:t>
          </a:r>
          <a:r>
            <a:rPr lang="en-US" sz="1000" b="0" i="0" u="none" strike="noStrike" baseline="-25000">
              <a:solidFill>
                <a:srgbClr val="000000"/>
              </a:solidFill>
              <a:latin typeface="Courier New"/>
              <a:cs typeface="Courier New"/>
            </a:rPr>
            <a:t>on film (mm)</a:t>
          </a:r>
          <a:r>
            <a:rPr lang="en-US" sz="900" b="0" i="0" u="none" strike="noStrike" baseline="0">
              <a:solidFill>
                <a:srgbClr val="000000"/>
              </a:solidFill>
              <a:latin typeface="Courier New"/>
              <a:cs typeface="Courier New"/>
            </a:rPr>
            <a:t>  /  0.00135383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spreadsheet uses the above formula with a few more significant digits in the constant.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Want more?  See David Jacobson's  discussion of diffraction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http://www.photo.net/photo/optics/lensTutorial.html</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Step 7b:</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This is the Diffraction-Limited Minimum Aperture and the Diffraction-Limited Print Resolution at the Minimum Working Aperture.</a:t>
          </a:r>
        </a:p>
        <a:p>
          <a:pPr algn="l" rtl="0">
            <a:defRPr sz="1000"/>
          </a:pPr>
          <a:endParaRPr lang="en-US" sz="1000" b="1"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Having calculated the aperture at which Diffraction's Airy Disks will reach the size of our chosen Maximum Permissible Diameter for Circles of Confusion, this section calculates the Diffraction-Limited Minimum Aperture as follows: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D-L Min. Aperture = 1482    /    Desired lp/mm at the Print    /    Magnification Ratio</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Please note that this aperture can be much smaller than the aperture at which Diffraction's Airy Disks will equal the size of your chosen Maximum Permissible CoC's.  Diffraction may permit resolutions equivalent to CoC diameters much smaller than what we've chosen, but that doesn't mean we want to go there.  We should stop well short of using such small apertures.  What is our Minimum Working Aperture?  Again:  We should not stop down any further than that aperture at which Diffraction's Airy Disk diameters will equal our Maximum Permissible CoC diameters.   The Diffraction-Limited Minimum Aperture being calculated here, is only provided as a reference, since it is so often discussed, but again, is much different from the more useful Aperture calculated in Step 7a.</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step also calculates the Print Resolution Diffraction would allow at our Minimum Working Aperture (the aperture at which Diffraction's Airy Disk diameters equal our Maximum Permissible CoC diameters) as follows: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D-L Print Resolution =  1482    /    Minimum Working Aperture    /     Magnification Ratio</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is NOT the same as the Print Resolution that Diffraction would allow at the Diffraction-Limited Minimum Aperture calculated just above.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Again, the Minimum Working Aperture calculated in Step 7a is the aperture at which Diffraction's Airy Disk diameters will equal our Maximum Permissible CoC diameters.  This aperture is much more useful to us than knowing the aperture calculated in 7b, the Diffraction-Limited Minimum Aperture.   We are not so much interested in knowing at what aperture Diffraction will prevent us from resolving any additional detail, as we are interested in the aperture at which both Diffraction's Airy Disks and our largest CoC's will reach the equivalent of our Desired Print Resolution.  If we are seeking 5 lpmm in the Print, for example, there is no need to be concerned about Airy disks or CoC's smaller than 0.2 mm diameter in the Print.  There is great need for concern, however, about either of these spread functions growing larger than 0.2mm (where they will become visible)!  Just don't stop down below the Minimum Working Aperture calculated in Step 7a.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Note:  At the web site referenced above, Jacobson suggests a constant of 1482 be used for light of wavelength 555 nm  (instead of 1500 or 1600), but Michael Gudzinowicz, Bob Atkins, and other respected sources believe that 1600 provides a better match to empirical data.  I have chosen to work with 1482 because: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the math says this equates to 555 nm, right in the middle of the visible light spectrum, </a:t>
          </a:r>
        </a:p>
        <a:p>
          <a:pPr algn="l" rtl="0">
            <a:defRPr sz="1000"/>
          </a:pPr>
          <a:r>
            <a:rPr lang="en-US" sz="1000" b="0" i="0" u="none" strike="noStrike" baseline="0">
              <a:solidFill>
                <a:srgbClr val="000000"/>
              </a:solidFill>
              <a:latin typeface="Arial"/>
              <a:cs typeface="Arial"/>
            </a:rPr>
            <a:t>b) it makes the Minimum Working Apertures just a little bit wider, and </a:t>
          </a:r>
        </a:p>
        <a:p>
          <a:pPr algn="l" rtl="0">
            <a:defRPr sz="1000"/>
          </a:pPr>
          <a:r>
            <a:rPr lang="en-US" sz="1000" b="0" i="0" u="none" strike="noStrike" baseline="0">
              <a:solidFill>
                <a:srgbClr val="000000"/>
              </a:solidFill>
              <a:latin typeface="Arial"/>
              <a:cs typeface="Arial"/>
            </a:rPr>
            <a:t>c) I would rather err on the conservative side regarding diffraction and enjoy the slightly faster shutter speeds.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ccessz.com/" TargetMode="External"/><Relationship Id="rId1" Type="http://schemas.openxmlformats.org/officeDocument/2006/relationships/hyperlink" Target="http://www.largeformatphotography.info/articles/DoFinDepth.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D251"/>
  <sheetViews>
    <sheetView showGridLines="0" tabSelected="1" zoomScale="90" workbookViewId="0"/>
  </sheetViews>
  <sheetFormatPr defaultRowHeight="12.5" x14ac:dyDescent="0.25"/>
  <cols>
    <col min="1" max="1" width="3.7265625" customWidth="1"/>
    <col min="2" max="2" width="11" customWidth="1"/>
    <col min="3" max="3" width="8.453125" customWidth="1"/>
    <col min="4" max="4" width="9.7265625" customWidth="1"/>
    <col min="5" max="5" width="10.7265625" customWidth="1"/>
    <col min="6" max="6" width="10.1796875" bestFit="1" customWidth="1"/>
    <col min="7" max="8" width="12.7265625" customWidth="1"/>
    <col min="9" max="9" width="15.7265625" customWidth="1"/>
    <col min="10" max="10" width="12.453125" customWidth="1"/>
    <col min="11" max="11" width="21.7265625" customWidth="1"/>
    <col min="12" max="12" width="9.453125" customWidth="1"/>
    <col min="13" max="13" width="13.7265625" customWidth="1"/>
    <col min="14" max="14" width="12.1796875" customWidth="1"/>
    <col min="15" max="15" width="13.54296875" customWidth="1"/>
    <col min="16" max="16" width="10.453125" customWidth="1"/>
    <col min="17" max="17" width="10.1796875" bestFit="1" customWidth="1"/>
    <col min="18" max="18" width="21.7265625" customWidth="1"/>
    <col min="19" max="19" width="10.26953125" customWidth="1"/>
    <col min="20" max="20" width="12.1796875" customWidth="1"/>
    <col min="21" max="22" width="13.54296875" customWidth="1"/>
    <col min="23" max="23" width="10.453125" customWidth="1"/>
    <col min="24" max="25" width="9.26953125" bestFit="1" customWidth="1"/>
  </cols>
  <sheetData>
    <row r="3" spans="3:18" ht="25" x14ac:dyDescent="0.5">
      <c r="C3" s="126" t="s">
        <v>0</v>
      </c>
    </row>
    <row r="4" spans="3:18" x14ac:dyDescent="0.25">
      <c r="J4" s="54" t="s">
        <v>233</v>
      </c>
    </row>
    <row r="5" spans="3:18" ht="15.5" x14ac:dyDescent="0.35">
      <c r="D5" s="15" t="s">
        <v>1</v>
      </c>
    </row>
    <row r="6" spans="3:18" x14ac:dyDescent="0.25">
      <c r="D6" s="361" t="s">
        <v>232</v>
      </c>
    </row>
    <row r="7" spans="3:18" ht="16" thickBot="1" x14ac:dyDescent="0.4">
      <c r="D7" s="15"/>
    </row>
    <row r="8" spans="3:18" ht="13.5" thickBot="1" x14ac:dyDescent="0.35">
      <c r="C8" s="17" t="s">
        <v>2</v>
      </c>
      <c r="D8" s="20" t="s">
        <v>3</v>
      </c>
      <c r="E8" s="21"/>
      <c r="F8" s="22"/>
      <c r="G8" s="23"/>
      <c r="H8" s="23"/>
      <c r="I8" s="23"/>
      <c r="J8" s="115"/>
    </row>
    <row r="9" spans="3:18" ht="13.5" thickBot="1" x14ac:dyDescent="0.35">
      <c r="C9" s="201" t="s">
        <v>4</v>
      </c>
      <c r="D9" s="197"/>
      <c r="E9" s="197"/>
      <c r="F9" s="197"/>
      <c r="G9" s="197"/>
      <c r="H9" s="197"/>
      <c r="I9" s="197"/>
      <c r="J9" s="256"/>
    </row>
    <row r="10" spans="3:18" ht="13.5" thickBot="1" x14ac:dyDescent="0.35">
      <c r="C10" s="17" t="s">
        <v>173</v>
      </c>
      <c r="D10" s="17"/>
      <c r="E10" s="18"/>
      <c r="F10" s="18"/>
      <c r="G10" s="18"/>
      <c r="H10" s="18"/>
      <c r="I10" s="19"/>
      <c r="J10" s="11">
        <v>43</v>
      </c>
      <c r="N10" s="2"/>
      <c r="O10" s="2"/>
      <c r="P10" s="2"/>
      <c r="Q10" s="2"/>
      <c r="R10" s="2"/>
    </row>
    <row r="11" spans="3:18" ht="13.5" thickBot="1" x14ac:dyDescent="0.35">
      <c r="C11" s="2" t="s">
        <v>5</v>
      </c>
      <c r="D11" s="101"/>
      <c r="E11" s="2"/>
      <c r="F11" s="2"/>
      <c r="G11" s="102"/>
      <c r="H11" s="244" t="s">
        <v>83</v>
      </c>
      <c r="I11" s="244"/>
      <c r="J11" s="16">
        <f>J10/25.4</f>
        <v>1.6929133858267718</v>
      </c>
    </row>
    <row r="13" spans="3:18" ht="13" thickBot="1" x14ac:dyDescent="0.3"/>
    <row r="14" spans="3:18" ht="13.5" thickBot="1" x14ac:dyDescent="0.35">
      <c r="C14" s="17" t="s">
        <v>6</v>
      </c>
      <c r="D14" s="20" t="s">
        <v>7</v>
      </c>
      <c r="E14" s="21"/>
      <c r="F14" s="22"/>
      <c r="G14" s="23"/>
      <c r="H14" s="23"/>
      <c r="I14" s="23"/>
      <c r="J14" s="115"/>
    </row>
    <row r="15" spans="3:18" ht="13.5" thickBot="1" x14ac:dyDescent="0.35">
      <c r="C15" s="201" t="s">
        <v>4</v>
      </c>
      <c r="D15" s="197"/>
      <c r="E15" s="197"/>
      <c r="F15" s="197"/>
      <c r="G15" s="197"/>
      <c r="H15" s="197"/>
      <c r="I15" s="197"/>
      <c r="J15" s="256"/>
    </row>
    <row r="16" spans="3:18" ht="13.5" thickBot="1" x14ac:dyDescent="0.35">
      <c r="C16" s="17" t="s">
        <v>8</v>
      </c>
      <c r="D16" s="18"/>
      <c r="E16" s="18"/>
      <c r="F16" s="18"/>
      <c r="G16" s="18"/>
      <c r="H16" s="18"/>
      <c r="I16" s="19"/>
      <c r="J16" s="11">
        <v>70.709999999999994</v>
      </c>
      <c r="L16" s="189" t="s">
        <v>176</v>
      </c>
    </row>
    <row r="17" spans="3:12" ht="13.5" thickBot="1" x14ac:dyDescent="0.35">
      <c r="C17" s="2" t="s">
        <v>9</v>
      </c>
      <c r="D17" s="101"/>
      <c r="E17" s="2"/>
      <c r="F17" s="2"/>
      <c r="G17" s="102"/>
      <c r="H17" s="244" t="s">
        <v>83</v>
      </c>
      <c r="I17" s="244"/>
      <c r="J17" s="16">
        <f>J16/25.4</f>
        <v>2.7838582677165356</v>
      </c>
      <c r="L17" s="189" t="s">
        <v>177</v>
      </c>
    </row>
    <row r="18" spans="3:12" ht="13" x14ac:dyDescent="0.3">
      <c r="D18" s="1"/>
      <c r="G18" s="3"/>
      <c r="J18" s="68"/>
      <c r="L18" s="189" t="s">
        <v>177</v>
      </c>
    </row>
    <row r="19" spans="3:12" ht="13.5" thickBot="1" x14ac:dyDescent="0.35">
      <c r="D19" s="2"/>
      <c r="E19" s="2"/>
      <c r="F19" s="2"/>
      <c r="G19" s="2"/>
      <c r="H19" s="2"/>
      <c r="I19" s="4"/>
      <c r="L19" s="189" t="s">
        <v>177</v>
      </c>
    </row>
    <row r="20" spans="3:12" ht="13.5" thickBot="1" x14ac:dyDescent="0.35">
      <c r="C20" s="20"/>
      <c r="D20" s="20"/>
      <c r="E20" s="20"/>
      <c r="F20" s="84" t="s">
        <v>10</v>
      </c>
      <c r="G20" s="20"/>
      <c r="H20" s="20"/>
      <c r="I20" s="20"/>
      <c r="J20" s="32" t="s">
        <v>11</v>
      </c>
      <c r="L20" s="189" t="s">
        <v>177</v>
      </c>
    </row>
    <row r="21" spans="3:12" ht="13.5" thickBot="1" x14ac:dyDescent="0.35">
      <c r="C21" s="144"/>
      <c r="D21" s="144"/>
      <c r="E21" s="144"/>
      <c r="F21" s="259" t="s">
        <v>12</v>
      </c>
      <c r="G21" s="144"/>
      <c r="H21" s="144"/>
      <c r="I21" s="144"/>
      <c r="J21" s="37" t="s">
        <v>13</v>
      </c>
      <c r="L21" s="189" t="s">
        <v>177</v>
      </c>
    </row>
    <row r="22" spans="3:12" ht="13.5" thickBot="1" x14ac:dyDescent="0.35">
      <c r="C22" s="201"/>
      <c r="D22" s="192"/>
      <c r="E22" s="197"/>
      <c r="F22" s="202" t="s">
        <v>14</v>
      </c>
      <c r="G22" s="192"/>
      <c r="H22" s="192"/>
      <c r="I22" s="257"/>
      <c r="J22" s="258" t="s">
        <v>15</v>
      </c>
      <c r="L22" s="189" t="s">
        <v>177</v>
      </c>
    </row>
    <row r="23" spans="3:12" ht="13.5" thickBot="1" x14ac:dyDescent="0.35">
      <c r="C23" s="260"/>
      <c r="D23" s="37" t="s">
        <v>16</v>
      </c>
      <c r="E23" s="37" t="s">
        <v>16</v>
      </c>
      <c r="F23" s="37" t="s">
        <v>16</v>
      </c>
      <c r="G23" s="37" t="s">
        <v>17</v>
      </c>
      <c r="H23" s="37" t="s">
        <v>17</v>
      </c>
      <c r="I23" s="37" t="s">
        <v>17</v>
      </c>
      <c r="J23" s="49" t="s">
        <v>18</v>
      </c>
      <c r="K23" s="6"/>
      <c r="L23" s="189" t="s">
        <v>177</v>
      </c>
    </row>
    <row r="24" spans="3:12" ht="13.5" thickBot="1" x14ac:dyDescent="0.35">
      <c r="C24" s="37" t="s">
        <v>19</v>
      </c>
      <c r="D24" s="37" t="s">
        <v>20</v>
      </c>
      <c r="E24" s="37" t="s">
        <v>20</v>
      </c>
      <c r="F24" s="37" t="s">
        <v>20</v>
      </c>
      <c r="G24" s="48" t="s">
        <v>21</v>
      </c>
      <c r="H24" s="48" t="s">
        <v>21</v>
      </c>
      <c r="I24" s="48" t="s">
        <v>21</v>
      </c>
      <c r="J24" s="11">
        <v>5</v>
      </c>
      <c r="K24" s="7"/>
      <c r="L24" s="189" t="s">
        <v>177</v>
      </c>
    </row>
    <row r="25" spans="3:12" ht="13.5" thickBot="1" x14ac:dyDescent="0.35">
      <c r="C25" s="37" t="s">
        <v>22</v>
      </c>
      <c r="D25" s="37" t="s">
        <v>23</v>
      </c>
      <c r="E25" s="37" t="s">
        <v>24</v>
      </c>
      <c r="F25" s="37" t="s">
        <v>17</v>
      </c>
      <c r="G25" s="48" t="s">
        <v>25</v>
      </c>
      <c r="H25" s="48" t="s">
        <v>26</v>
      </c>
      <c r="I25" s="48" t="s">
        <v>27</v>
      </c>
      <c r="J25" s="49" t="s">
        <v>28</v>
      </c>
      <c r="L25" s="189" t="s">
        <v>177</v>
      </c>
    </row>
    <row r="26" spans="3:12" ht="13.5" thickBot="1" x14ac:dyDescent="0.35">
      <c r="C26" s="44"/>
      <c r="D26" s="39" t="s">
        <v>29</v>
      </c>
      <c r="E26" s="39" t="s">
        <v>29</v>
      </c>
      <c r="F26" s="39" t="s">
        <v>29</v>
      </c>
      <c r="G26" s="39" t="s">
        <v>29</v>
      </c>
      <c r="H26" s="39" t="s">
        <v>29</v>
      </c>
      <c r="I26" s="39" t="s">
        <v>29</v>
      </c>
      <c r="J26" s="11">
        <v>6</v>
      </c>
      <c r="L26" s="189" t="s">
        <v>177</v>
      </c>
    </row>
    <row r="27" spans="3:12" ht="13" x14ac:dyDescent="0.3">
      <c r="C27" s="45" t="s">
        <v>30</v>
      </c>
      <c r="D27" s="10">
        <v>8</v>
      </c>
      <c r="E27" s="10">
        <v>11</v>
      </c>
      <c r="F27" s="28">
        <f t="shared" ref="F27:F39" si="0">SQRT(D27*D27+E27*E27)</f>
        <v>13.601470508735444</v>
      </c>
      <c r="G27" s="28">
        <f t="shared" ref="G27:G39" si="1">IF(D27*1.25&lt;E27,SQRT((POWER(D27*1.25,2))+(POWER(D27,2))),SQRT((POWER(E27/1.25,2))+(POWER(E27,2))))</f>
        <v>12.806248474865697</v>
      </c>
      <c r="H27" s="28">
        <f t="shared" ref="H27:H39" si="2">IF(D27*1.4&lt;E27,SQRT((POWER(D27*1.4,2))+(POWER(D27,2))),SQRT((POWER(E27/1.4,2))+(POWER(E27,2))))</f>
        <v>13.517939705352699</v>
      </c>
      <c r="I27" s="28">
        <f t="shared" ref="I27:I39" si="3">IF(D27* 1.272727272727&lt;E27,SQRT((POWER(D27* 1.272727272727,2))+(POWER(D27,2))),SQRT((POWER(E27/ 1.272727272727,2))+(POWER(E27,2))))</f>
        <v>12.948722774372724</v>
      </c>
      <c r="J27" s="29">
        <f t="shared" ref="J27:J39" si="4">IF(D27* ($J$26/$J$24)&lt;E27,SQRT((POWER(D27* ($J$26/$J$24),2))+(POWER(D27,2))),SQRT((POWER(E27/ ($J$26/$J$24),2))+(POWER(E27,2))))</f>
        <v>12.496399481450647</v>
      </c>
      <c r="L27" s="189" t="s">
        <v>177</v>
      </c>
    </row>
    <row r="28" spans="3:12" ht="13" x14ac:dyDescent="0.3">
      <c r="C28" s="45" t="s">
        <v>31</v>
      </c>
      <c r="D28" s="12">
        <v>16.7</v>
      </c>
      <c r="E28" s="12">
        <v>30.2</v>
      </c>
      <c r="F28" s="28">
        <f t="shared" si="0"/>
        <v>34.509853665293917</v>
      </c>
      <c r="G28" s="28">
        <f t="shared" si="1"/>
        <v>26.733043691282145</v>
      </c>
      <c r="H28" s="28">
        <f t="shared" si="2"/>
        <v>28.73176639192237</v>
      </c>
      <c r="I28" s="28">
        <f t="shared" si="3"/>
        <v>27.030458791503065</v>
      </c>
      <c r="J28" s="29">
        <f t="shared" si="4"/>
        <v>26.086233917528226</v>
      </c>
      <c r="L28" s="189" t="s">
        <v>177</v>
      </c>
    </row>
    <row r="29" spans="3:12" ht="13" x14ac:dyDescent="0.3">
      <c r="C29" s="45" t="s">
        <v>32</v>
      </c>
      <c r="D29" s="12">
        <v>24</v>
      </c>
      <c r="E29" s="12">
        <v>36</v>
      </c>
      <c r="F29" s="28">
        <f t="shared" si="0"/>
        <v>43.266615305567875</v>
      </c>
      <c r="G29" s="28">
        <f t="shared" si="1"/>
        <v>38.418745424597091</v>
      </c>
      <c r="H29" s="28">
        <f t="shared" si="2"/>
        <v>41.291161281804605</v>
      </c>
      <c r="I29" s="28">
        <f t="shared" si="3"/>
        <v>38.846168323118178</v>
      </c>
      <c r="J29" s="29">
        <f t="shared" si="4"/>
        <v>37.489198444351942</v>
      </c>
      <c r="L29" s="189" t="s">
        <v>177</v>
      </c>
    </row>
    <row r="30" spans="3:12" ht="13" x14ac:dyDescent="0.3">
      <c r="C30" s="45" t="s">
        <v>33</v>
      </c>
      <c r="D30" s="12">
        <v>41.5</v>
      </c>
      <c r="E30" s="12">
        <v>56</v>
      </c>
      <c r="F30" s="28">
        <f t="shared" si="0"/>
        <v>69.701147766733371</v>
      </c>
      <c r="G30" s="28">
        <f t="shared" si="1"/>
        <v>66.432413963365804</v>
      </c>
      <c r="H30" s="28">
        <f t="shared" si="2"/>
        <v>68.818602136341013</v>
      </c>
      <c r="I30" s="28">
        <f t="shared" si="3"/>
        <v>67.171499392058507</v>
      </c>
      <c r="J30" s="29">
        <f t="shared" si="4"/>
        <v>64.82507231002522</v>
      </c>
      <c r="L30" s="189" t="s">
        <v>177</v>
      </c>
    </row>
    <row r="31" spans="3:12" ht="13" x14ac:dyDescent="0.3">
      <c r="C31" s="45" t="s">
        <v>34</v>
      </c>
      <c r="D31" s="12">
        <v>56</v>
      </c>
      <c r="E31" s="12">
        <v>56</v>
      </c>
      <c r="F31" s="28">
        <f t="shared" si="0"/>
        <v>79.195959492893323</v>
      </c>
      <c r="G31" s="28">
        <f t="shared" si="1"/>
        <v>71.714991459247912</v>
      </c>
      <c r="H31" s="28">
        <f t="shared" si="2"/>
        <v>68.818602136341013</v>
      </c>
      <c r="I31" s="28">
        <f t="shared" si="3"/>
        <v>71.217975259065241</v>
      </c>
      <c r="J31" s="29">
        <f t="shared" si="4"/>
        <v>72.895663641795451</v>
      </c>
      <c r="L31" s="189" t="s">
        <v>177</v>
      </c>
    </row>
    <row r="32" spans="3:12" ht="13" x14ac:dyDescent="0.3">
      <c r="C32" s="45" t="s">
        <v>35</v>
      </c>
      <c r="D32" s="12">
        <v>56</v>
      </c>
      <c r="E32" s="12">
        <v>70</v>
      </c>
      <c r="F32" s="28">
        <f t="shared" si="0"/>
        <v>89.643739324059879</v>
      </c>
      <c r="G32" s="28">
        <f t="shared" si="1"/>
        <v>89.643739324059879</v>
      </c>
      <c r="H32" s="28">
        <f t="shared" si="2"/>
        <v>86.023252670426274</v>
      </c>
      <c r="I32" s="28">
        <f t="shared" si="3"/>
        <v>89.022469073831559</v>
      </c>
      <c r="J32" s="29">
        <f t="shared" si="4"/>
        <v>87.474796370154536</v>
      </c>
      <c r="L32" s="189" t="s">
        <v>177</v>
      </c>
    </row>
    <row r="33" spans="3:18" ht="13" x14ac:dyDescent="0.3">
      <c r="C33" s="45" t="s">
        <v>36</v>
      </c>
      <c r="D33" s="12">
        <v>56</v>
      </c>
      <c r="E33" s="12">
        <v>84</v>
      </c>
      <c r="F33" s="28">
        <f t="shared" si="0"/>
        <v>100.9554357129917</v>
      </c>
      <c r="G33" s="28">
        <f t="shared" si="1"/>
        <v>89.643739324059879</v>
      </c>
      <c r="H33" s="28">
        <f t="shared" si="2"/>
        <v>96.346042990877407</v>
      </c>
      <c r="I33" s="28">
        <f t="shared" si="3"/>
        <v>90.641059420609082</v>
      </c>
      <c r="J33" s="29">
        <f t="shared" si="4"/>
        <v>87.474796370154536</v>
      </c>
      <c r="L33" s="189" t="s">
        <v>177</v>
      </c>
    </row>
    <row r="34" spans="3:18" ht="13" x14ac:dyDescent="0.3">
      <c r="C34" s="45" t="s">
        <v>37</v>
      </c>
      <c r="D34" s="12">
        <v>96</v>
      </c>
      <c r="E34" s="12">
        <v>120</v>
      </c>
      <c r="F34" s="28">
        <f t="shared" si="0"/>
        <v>153.67498169838836</v>
      </c>
      <c r="G34" s="28">
        <f t="shared" si="1"/>
        <v>153.67498169838836</v>
      </c>
      <c r="H34" s="28">
        <f t="shared" si="2"/>
        <v>147.46843314930217</v>
      </c>
      <c r="I34" s="28">
        <f t="shared" si="3"/>
        <v>152.60994698371124</v>
      </c>
      <c r="J34" s="29">
        <f t="shared" si="4"/>
        <v>149.95679377740777</v>
      </c>
      <c r="L34" s="189" t="s">
        <v>177</v>
      </c>
    </row>
    <row r="35" spans="3:18" ht="13" x14ac:dyDescent="0.3">
      <c r="C35" s="45" t="s">
        <v>38</v>
      </c>
      <c r="D35" s="12">
        <v>121</v>
      </c>
      <c r="E35" s="12">
        <v>170</v>
      </c>
      <c r="F35" s="28">
        <f t="shared" si="0"/>
        <v>208.6648029735729</v>
      </c>
      <c r="G35" s="28">
        <f t="shared" si="1"/>
        <v>193.69450818234367</v>
      </c>
      <c r="H35" s="28">
        <f t="shared" si="2"/>
        <v>208.17627146243154</v>
      </c>
      <c r="I35" s="28">
        <f t="shared" si="3"/>
        <v>195.84943196238746</v>
      </c>
      <c r="J35" s="29">
        <f t="shared" si="4"/>
        <v>189.00804215694103</v>
      </c>
      <c r="L35" s="189" t="s">
        <v>177</v>
      </c>
    </row>
    <row r="36" spans="3:18" ht="13" x14ac:dyDescent="0.3">
      <c r="C36" s="45" t="s">
        <v>39</v>
      </c>
      <c r="D36" s="12">
        <v>194</v>
      </c>
      <c r="E36" s="12">
        <v>245</v>
      </c>
      <c r="F36" s="28">
        <f t="shared" si="0"/>
        <v>312.50759990758627</v>
      </c>
      <c r="G36" s="28">
        <f t="shared" si="1"/>
        <v>310.55152551549315</v>
      </c>
      <c r="H36" s="28">
        <f t="shared" si="2"/>
        <v>301.08138434649192</v>
      </c>
      <c r="I36" s="28">
        <f t="shared" si="3"/>
        <v>311.57864175841047</v>
      </c>
      <c r="J36" s="29">
        <f t="shared" si="4"/>
        <v>303.03768742517821</v>
      </c>
      <c r="L36" s="189" t="s">
        <v>177</v>
      </c>
    </row>
    <row r="37" spans="3:18" ht="13" x14ac:dyDescent="0.3">
      <c r="C37" s="46" t="s">
        <v>40</v>
      </c>
      <c r="D37" s="13">
        <v>245</v>
      </c>
      <c r="E37" s="13">
        <v>295</v>
      </c>
      <c r="F37" s="28">
        <f t="shared" si="0"/>
        <v>383.47098977628019</v>
      </c>
      <c r="G37" s="28">
        <f t="shared" si="1"/>
        <v>377.78433000853806</v>
      </c>
      <c r="H37" s="28">
        <f t="shared" si="2"/>
        <v>362.52656482536781</v>
      </c>
      <c r="I37" s="28">
        <f t="shared" si="3"/>
        <v>375.16611966829015</v>
      </c>
      <c r="J37" s="29">
        <f t="shared" si="4"/>
        <v>382.70223411942607</v>
      </c>
      <c r="L37" s="189" t="s">
        <v>177</v>
      </c>
    </row>
    <row r="38" spans="3:18" ht="13" x14ac:dyDescent="0.3">
      <c r="C38" s="46" t="s">
        <v>41</v>
      </c>
      <c r="D38" s="13">
        <v>276.22500000000002</v>
      </c>
      <c r="E38" s="13">
        <v>352.42500000000001</v>
      </c>
      <c r="F38" s="28">
        <f t="shared" si="0"/>
        <v>447.77631832199438</v>
      </c>
      <c r="G38" s="28">
        <f t="shared" si="1"/>
        <v>442.17574812122217</v>
      </c>
      <c r="H38" s="28">
        <f t="shared" si="2"/>
        <v>433.09635460535685</v>
      </c>
      <c r="I38" s="28">
        <f t="shared" si="3"/>
        <v>447.0951185438883</v>
      </c>
      <c r="J38" s="29">
        <f t="shared" si="4"/>
        <v>431.47724334546314</v>
      </c>
      <c r="L38" s="189" t="s">
        <v>177</v>
      </c>
    </row>
    <row r="39" spans="3:18" ht="13.5" thickBot="1" x14ac:dyDescent="0.35">
      <c r="C39" s="47" t="s">
        <v>42</v>
      </c>
      <c r="D39" s="14">
        <v>50</v>
      </c>
      <c r="E39" s="14">
        <v>50</v>
      </c>
      <c r="F39" s="30">
        <f t="shared" si="0"/>
        <v>70.710678118654755</v>
      </c>
      <c r="G39" s="30">
        <f t="shared" si="1"/>
        <v>64.031242374328485</v>
      </c>
      <c r="H39" s="30">
        <f t="shared" si="2"/>
        <v>61.445180478875905</v>
      </c>
      <c r="I39" s="30">
        <f t="shared" si="3"/>
        <v>63.587477909879688</v>
      </c>
      <c r="J39" s="31">
        <f t="shared" si="4"/>
        <v>65.08541396588879</v>
      </c>
      <c r="L39" s="189" t="s">
        <v>177</v>
      </c>
    </row>
    <row r="40" spans="3:18" ht="13" x14ac:dyDescent="0.3">
      <c r="F40" s="65"/>
      <c r="G40" s="65"/>
      <c r="H40" s="65"/>
      <c r="I40" s="65"/>
      <c r="J40" s="65"/>
      <c r="L40" s="189" t="s">
        <v>177</v>
      </c>
    </row>
    <row r="41" spans="3:18" ht="13.5" thickBot="1" x14ac:dyDescent="0.35">
      <c r="L41" s="189" t="s">
        <v>177</v>
      </c>
    </row>
    <row r="42" spans="3:18" ht="13.5" thickBot="1" x14ac:dyDescent="0.35">
      <c r="C42" s="17" t="s">
        <v>43</v>
      </c>
      <c r="D42" s="20" t="s">
        <v>44</v>
      </c>
      <c r="E42" s="21"/>
      <c r="F42" s="22"/>
      <c r="G42" s="23"/>
      <c r="H42" s="23"/>
      <c r="I42" s="23"/>
      <c r="J42" s="83"/>
      <c r="L42" s="189" t="s">
        <v>177</v>
      </c>
    </row>
    <row r="43" spans="3:18" ht="13.5" thickBot="1" x14ac:dyDescent="0.35">
      <c r="C43" s="201" t="s">
        <v>45</v>
      </c>
      <c r="D43" s="197"/>
      <c r="E43" s="197"/>
      <c r="F43" s="197"/>
      <c r="G43" s="197"/>
      <c r="H43" s="197"/>
      <c r="I43" s="197"/>
      <c r="J43" s="256"/>
      <c r="L43" s="189" t="s">
        <v>177</v>
      </c>
    </row>
    <row r="44" spans="3:18" ht="13.5" thickBot="1" x14ac:dyDescent="0.35">
      <c r="C44" s="87" t="s">
        <v>183</v>
      </c>
      <c r="D44" s="139"/>
      <c r="E44" s="139"/>
      <c r="F44" s="139"/>
      <c r="G44" s="139"/>
      <c r="H44" s="139"/>
      <c r="I44" s="139"/>
      <c r="J44" s="11">
        <v>33</v>
      </c>
      <c r="K44" s="80" t="str">
        <f>IF($J$44 &gt; 45, " Caution:  See Note 3!", "")</f>
        <v/>
      </c>
      <c r="L44" s="189" t="s">
        <v>177</v>
      </c>
    </row>
    <row r="45" spans="3:18" ht="13.5" thickBot="1" x14ac:dyDescent="0.35">
      <c r="C45" s="140" t="s">
        <v>181</v>
      </c>
      <c r="D45" s="141"/>
      <c r="E45" s="141"/>
      <c r="F45" s="141"/>
      <c r="G45" s="141"/>
      <c r="H45" s="141"/>
      <c r="I45" s="142"/>
      <c r="J45" s="300">
        <v>7.625</v>
      </c>
      <c r="K45" s="301" t="str">
        <f>IF($J$45 &gt; $J$44, " Exceeds System Resolution!", " 5.00 lp/mm is recommended for 10-inch viewing distance, 2.50 lp/mm for 20-inch, etc.")</f>
        <v xml:space="preserve"> 5.00 lp/mm is recommended for 10-inch viewing distance, 2.50 lp/mm for 20-inch, etc.</v>
      </c>
      <c r="L45" s="302"/>
      <c r="M45" s="293"/>
      <c r="N45" s="293"/>
      <c r="O45" s="293"/>
      <c r="P45" s="294"/>
    </row>
    <row r="46" spans="3:18" ht="13" x14ac:dyDescent="0.3">
      <c r="C46" s="82" t="s">
        <v>46</v>
      </c>
      <c r="D46" s="2"/>
      <c r="E46" s="2"/>
      <c r="F46" s="2"/>
      <c r="G46" s="2"/>
      <c r="H46" s="2"/>
      <c r="I46" s="2"/>
      <c r="J46" s="212">
        <f>ROUND($J$45,2)</f>
        <v>7.63</v>
      </c>
      <c r="L46" s="189" t="s">
        <v>177</v>
      </c>
    </row>
    <row r="47" spans="3:18" ht="13.5" thickBot="1" x14ac:dyDescent="0.35">
      <c r="C47" s="82"/>
      <c r="D47" s="2"/>
      <c r="E47" s="2"/>
      <c r="F47" s="2"/>
      <c r="G47" s="2"/>
      <c r="H47" s="2"/>
      <c r="I47" s="2"/>
      <c r="J47" s="2"/>
      <c r="L47" s="189" t="s">
        <v>177</v>
      </c>
    </row>
    <row r="48" spans="3:18" ht="13.5" thickBot="1" x14ac:dyDescent="0.35">
      <c r="C48" s="87" t="s">
        <v>47</v>
      </c>
      <c r="D48" s="88" t="s">
        <v>48</v>
      </c>
      <c r="E48" s="88"/>
      <c r="F48" s="89"/>
      <c r="G48" s="88"/>
      <c r="H48" s="89"/>
      <c r="I48" s="89"/>
      <c r="J48" s="90"/>
      <c r="L48" s="144" t="s">
        <v>166</v>
      </c>
      <c r="M48" s="144"/>
      <c r="N48" s="144"/>
      <c r="O48" s="144"/>
      <c r="P48" s="144"/>
      <c r="Q48" s="144"/>
      <c r="R48" s="176"/>
    </row>
    <row r="49" spans="3:18" ht="13.5" thickBot="1" x14ac:dyDescent="0.35">
      <c r="C49" s="201" t="s">
        <v>45</v>
      </c>
      <c r="D49" s="197"/>
      <c r="E49" s="197"/>
      <c r="F49" s="197"/>
      <c r="G49" s="197"/>
      <c r="H49" s="197"/>
      <c r="I49" s="197"/>
      <c r="J49" s="256"/>
      <c r="L49" s="117" t="s">
        <v>174</v>
      </c>
      <c r="M49" s="118"/>
      <c r="N49" s="118"/>
      <c r="O49" s="118"/>
      <c r="P49" s="118"/>
      <c r="Q49" s="118"/>
      <c r="R49" s="119"/>
    </row>
    <row r="50" spans="3:18" ht="13.5" thickBot="1" x14ac:dyDescent="0.35">
      <c r="C50" s="218" t="s">
        <v>49</v>
      </c>
      <c r="D50" s="219"/>
      <c r="E50" s="220"/>
      <c r="F50" s="221"/>
      <c r="G50" s="222"/>
      <c r="H50" s="221"/>
      <c r="I50" s="223"/>
      <c r="J50" s="243"/>
      <c r="L50" s="184"/>
      <c r="M50" s="185"/>
      <c r="N50" s="185"/>
      <c r="O50" s="185"/>
      <c r="P50" s="186" t="s">
        <v>160</v>
      </c>
      <c r="Q50" s="177">
        <v>78</v>
      </c>
      <c r="R50" s="178"/>
    </row>
    <row r="51" spans="3:18" ht="13.5" thickBot="1" x14ac:dyDescent="0.35">
      <c r="C51" s="210"/>
      <c r="D51" s="233"/>
      <c r="E51" s="233"/>
      <c r="F51" s="233"/>
      <c r="G51" s="233"/>
      <c r="H51" s="234" t="s">
        <v>50</v>
      </c>
      <c r="I51" s="96">
        <f>SQRT((1/2)*J16*J16) * (J44/J45) / 25.4</f>
        <v>8.519345173223833</v>
      </c>
      <c r="J51" s="81">
        <f>I51*1</f>
        <v>8.519345173223833</v>
      </c>
      <c r="K51" s="69" t="s">
        <v>51</v>
      </c>
      <c r="L51" s="108"/>
      <c r="M51" s="109"/>
      <c r="N51" s="109"/>
      <c r="O51" s="109"/>
      <c r="P51" s="110" t="s">
        <v>161</v>
      </c>
      <c r="Q51" s="111">
        <v>10</v>
      </c>
      <c r="R51" s="178" t="s">
        <v>162</v>
      </c>
    </row>
    <row r="52" spans="3:18" ht="13.5" thickBot="1" x14ac:dyDescent="0.35">
      <c r="C52" s="209"/>
      <c r="D52" s="235"/>
      <c r="E52" s="235"/>
      <c r="F52" s="235"/>
      <c r="G52" s="235"/>
      <c r="H52" s="236" t="s">
        <v>52</v>
      </c>
      <c r="I52" s="81">
        <f>(2/(SQRT(2*2+3*3)))*J16*(J44/J45)/25.4</f>
        <v>6.6831241971232043</v>
      </c>
      <c r="J52" s="81">
        <f>I52*3/2</f>
        <v>10.024686295684806</v>
      </c>
      <c r="K52" s="69" t="s">
        <v>51</v>
      </c>
      <c r="L52" s="41"/>
      <c r="M52" s="86"/>
      <c r="N52" s="86"/>
      <c r="O52" s="86"/>
      <c r="P52" s="58" t="s">
        <v>163</v>
      </c>
      <c r="Q52" s="187">
        <f>(10 * (Q51^-1))+(250/Q50)</f>
        <v>4.2051282051282053</v>
      </c>
      <c r="R52" s="178"/>
    </row>
    <row r="53" spans="3:18" ht="13.5" thickBot="1" x14ac:dyDescent="0.35">
      <c r="C53" s="209"/>
      <c r="D53" s="235"/>
      <c r="E53" s="235"/>
      <c r="F53" s="235"/>
      <c r="G53" s="235"/>
      <c r="H53" s="236" t="s">
        <v>53</v>
      </c>
      <c r="I53" s="81">
        <f>(4/(SQRT(4*4+5*5)))*J16*(J44/J45)/25.4</f>
        <v>7.5264343090998853</v>
      </c>
      <c r="J53" s="81">
        <f>I53*5/4</f>
        <v>9.4080428863748562</v>
      </c>
      <c r="K53" s="69" t="s">
        <v>51</v>
      </c>
      <c r="L53" s="179"/>
      <c r="M53" s="180"/>
      <c r="N53" s="180"/>
      <c r="O53" s="180"/>
      <c r="P53" s="181" t="s">
        <v>165</v>
      </c>
      <c r="Q53" s="183">
        <v>50</v>
      </c>
      <c r="R53" s="178" t="s">
        <v>170</v>
      </c>
    </row>
    <row r="54" spans="3:18" ht="13.5" thickBot="1" x14ac:dyDescent="0.35">
      <c r="C54" s="209"/>
      <c r="D54" s="235"/>
      <c r="E54" s="235"/>
      <c r="F54" s="235"/>
      <c r="G54" s="235"/>
      <c r="H54" s="236" t="s">
        <v>54</v>
      </c>
      <c r="I54" s="81">
        <f>(5/(SQRT(5*5+7*7)))*J16*(J44/J45)/25.4</f>
        <v>7.0028585949139082</v>
      </c>
      <c r="J54" s="81">
        <f>I54*7/5</f>
        <v>9.8040020328794704</v>
      </c>
      <c r="K54" s="69" t="s">
        <v>51</v>
      </c>
      <c r="L54" s="108"/>
      <c r="M54" s="109"/>
      <c r="N54" s="109"/>
      <c r="O54" s="109"/>
      <c r="P54" s="110" t="s">
        <v>167</v>
      </c>
      <c r="Q54" s="183">
        <v>50</v>
      </c>
      <c r="R54" s="178" t="s">
        <v>170</v>
      </c>
    </row>
    <row r="55" spans="3:18" ht="13.5" thickBot="1" x14ac:dyDescent="0.35">
      <c r="C55" s="237"/>
      <c r="D55" s="238"/>
      <c r="E55" s="238"/>
      <c r="F55" s="238"/>
      <c r="G55" s="238"/>
      <c r="H55" s="239" t="s">
        <v>55</v>
      </c>
      <c r="I55" s="81">
        <f>(6/(SQRT(6*6+17*17)))*J16*(J44/J45)/25.4</f>
        <v>4.0098745182739215</v>
      </c>
      <c r="J55" s="81">
        <f>I55*17/6</f>
        <v>11.361311135109444</v>
      </c>
      <c r="K55" s="69" t="s">
        <v>51</v>
      </c>
      <c r="L55" s="41"/>
      <c r="M55" s="86"/>
      <c r="N55" s="86"/>
      <c r="O55" s="86"/>
      <c r="P55" s="58" t="s">
        <v>164</v>
      </c>
      <c r="Q55" s="188">
        <f>SQRT(Q53*Q53+Q54*Q54)</f>
        <v>70.710678118654755</v>
      </c>
      <c r="R55" s="182" t="s">
        <v>168</v>
      </c>
    </row>
    <row r="56" spans="3:18" ht="13.5" thickBot="1" x14ac:dyDescent="0.35">
      <c r="C56" s="240"/>
      <c r="D56" s="241"/>
      <c r="E56" s="241"/>
      <c r="F56" s="241"/>
      <c r="G56" s="241"/>
      <c r="H56" s="242" t="s">
        <v>56</v>
      </c>
      <c r="I56" s="113">
        <f>(11/(SQRT(11*11+14*14)))*J16*(J44/J45)/25.4</f>
        <v>7.4436212413809821</v>
      </c>
      <c r="J56" s="81">
        <f>I56*14/11</f>
        <v>9.4736997617576133</v>
      </c>
      <c r="K56" s="69" t="s">
        <v>51</v>
      </c>
      <c r="L56" s="41"/>
      <c r="M56" s="86"/>
      <c r="N56" s="86"/>
      <c r="O56" s="86"/>
      <c r="P56" s="58" t="s">
        <v>171</v>
      </c>
      <c r="Q56" s="188">
        <f>(Q52*Q53)/25.4</f>
        <v>8.2778114274177277</v>
      </c>
      <c r="R56" s="182" t="s">
        <v>169</v>
      </c>
    </row>
    <row r="57" spans="3:18" ht="13.5" thickBot="1" x14ac:dyDescent="0.35">
      <c r="C57" s="114">
        <v>6</v>
      </c>
      <c r="D57" s="114">
        <v>9</v>
      </c>
      <c r="E57" s="241"/>
      <c r="F57" s="241"/>
      <c r="G57" s="241"/>
      <c r="H57" s="242" t="s">
        <v>57</v>
      </c>
      <c r="I57" s="113">
        <f>(C57/(SQRT(C57*C57+D57*D57)))*J16*(J44/J45)/25.4</f>
        <v>6.6831241971232016</v>
      </c>
      <c r="J57" s="81">
        <f>I57*D57/C57</f>
        <v>10.024686295684802</v>
      </c>
      <c r="K57" s="69" t="s">
        <v>51</v>
      </c>
      <c r="L57" s="41"/>
      <c r="M57" s="86"/>
      <c r="N57" s="86"/>
      <c r="O57" s="86"/>
      <c r="P57" s="58" t="s">
        <v>172</v>
      </c>
      <c r="Q57" s="188">
        <f>(Q52*Q54)/25.4</f>
        <v>8.2778114274177277</v>
      </c>
      <c r="R57" s="182" t="s">
        <v>169</v>
      </c>
    </row>
    <row r="58" spans="3:18" ht="13.5" thickBot="1" x14ac:dyDescent="0.35">
      <c r="C58" s="123" t="s">
        <v>58</v>
      </c>
      <c r="D58" s="124"/>
      <c r="E58" s="124"/>
      <c r="F58" s="124"/>
      <c r="G58" s="124"/>
      <c r="H58" s="124"/>
      <c r="I58" s="124"/>
      <c r="J58" s="125"/>
      <c r="L58" s="189" t="s">
        <v>177</v>
      </c>
    </row>
    <row r="59" spans="3:18" ht="13.5" thickBot="1" x14ac:dyDescent="0.35">
      <c r="C59" s="108"/>
      <c r="D59" s="109"/>
      <c r="E59" s="109"/>
      <c r="F59" s="109"/>
      <c r="G59" s="109"/>
      <c r="H59" s="110" t="s">
        <v>59</v>
      </c>
      <c r="I59" s="111">
        <v>8.2799999999999994</v>
      </c>
      <c r="J59" s="112">
        <v>8.2799999999999994</v>
      </c>
      <c r="L59" s="189" t="s">
        <v>175</v>
      </c>
    </row>
    <row r="60" spans="3:18" ht="13.5" thickBot="1" x14ac:dyDescent="0.35">
      <c r="C60" s="91" t="s">
        <v>60</v>
      </c>
      <c r="D60" s="92"/>
      <c r="E60" s="208">
        <f>J16</f>
        <v>70.709999999999994</v>
      </c>
      <c r="F60" s="93" t="s">
        <v>61</v>
      </c>
      <c r="G60" s="79"/>
      <c r="H60" s="247"/>
      <c r="I60" s="58" t="s">
        <v>62</v>
      </c>
      <c r="J60" s="16">
        <f>(SQRT(I59^2+J59^2))*25.4/J16</f>
        <v>4.2062803384218688</v>
      </c>
    </row>
    <row r="61" spans="3:18" ht="13.5" thickBot="1" x14ac:dyDescent="0.35">
      <c r="C61" s="41" t="s">
        <v>63</v>
      </c>
      <c r="D61" s="42"/>
      <c r="E61" s="135">
        <f>J44</f>
        <v>33</v>
      </c>
      <c r="F61" s="57" t="s">
        <v>152</v>
      </c>
      <c r="G61" s="143"/>
      <c r="H61" s="57"/>
      <c r="I61" s="58" t="s">
        <v>153</v>
      </c>
      <c r="J61" s="297">
        <f>ROUND(J44/J60,2)</f>
        <v>7.85</v>
      </c>
      <c r="K61" s="298" t="str">
        <f>IF($J$61&lt;$J$46, " DECREASE Print Size or Desired Print Resolution!  (Specified System", " Good:  The specified System Resolution can deliver")</f>
        <v xml:space="preserve"> Good:  The specified System Resolution can deliver</v>
      </c>
      <c r="L61" s="285"/>
      <c r="M61" s="285"/>
      <c r="N61" s="285"/>
      <c r="O61" s="286"/>
    </row>
    <row r="62" spans="3:18" ht="13" x14ac:dyDescent="0.3">
      <c r="C62" s="82" t="s">
        <v>64</v>
      </c>
      <c r="D62" s="2"/>
      <c r="E62" s="2"/>
      <c r="F62" s="2"/>
      <c r="G62" s="2"/>
      <c r="H62" s="2"/>
      <c r="I62" s="2"/>
      <c r="J62" s="2"/>
      <c r="K62" s="299" t="str">
        <f>IF($J$61&lt;$J$46, " Rez can NOT deliver Desired Print Resolution at this Magnification!)", " your Desired Print Resolution at this Magnification.")</f>
        <v xml:space="preserve"> your Desired Print Resolution at this Magnification.</v>
      </c>
      <c r="L62" s="288"/>
      <c r="M62" s="288"/>
      <c r="N62" s="288"/>
      <c r="O62" s="289"/>
    </row>
    <row r="63" spans="3:18" ht="13" thickBot="1" x14ac:dyDescent="0.3">
      <c r="C63" s="82"/>
      <c r="D63" s="2"/>
      <c r="E63" s="2"/>
      <c r="F63" s="2"/>
      <c r="G63" s="2"/>
      <c r="H63" s="2"/>
      <c r="I63" s="2"/>
      <c r="J63" s="2"/>
    </row>
    <row r="64" spans="3:18" ht="13.5" thickBot="1" x14ac:dyDescent="0.35">
      <c r="C64" s="87" t="s">
        <v>65</v>
      </c>
      <c r="D64" s="88" t="s">
        <v>66</v>
      </c>
      <c r="E64" s="88"/>
      <c r="F64" s="89"/>
      <c r="G64" s="89"/>
      <c r="H64" s="89"/>
      <c r="I64" s="89"/>
      <c r="J64" s="116"/>
    </row>
    <row r="65" spans="3:15" ht="13.5" thickBot="1" x14ac:dyDescent="0.35">
      <c r="C65" s="201" t="s">
        <v>67</v>
      </c>
      <c r="D65" s="197"/>
      <c r="E65" s="197"/>
      <c r="F65" s="197"/>
      <c r="G65" s="197"/>
      <c r="H65" s="197"/>
      <c r="I65" s="197"/>
      <c r="J65" s="256"/>
    </row>
    <row r="66" spans="3:15" ht="13.5" thickBot="1" x14ac:dyDescent="0.35">
      <c r="C66" s="218" t="s">
        <v>68</v>
      </c>
      <c r="D66" s="219"/>
      <c r="E66" s="220"/>
      <c r="F66" s="221"/>
      <c r="G66" s="222"/>
      <c r="H66" s="221"/>
      <c r="I66" s="223"/>
      <c r="J66" s="224"/>
    </row>
    <row r="67" spans="3:15" ht="13.5" thickBot="1" x14ac:dyDescent="0.35">
      <c r="C67" s="225" t="s">
        <v>69</v>
      </c>
      <c r="D67" s="226"/>
      <c r="E67" s="226"/>
      <c r="F67" s="226"/>
      <c r="G67" s="226"/>
      <c r="H67" s="226"/>
      <c r="I67" s="226"/>
      <c r="J67" s="227"/>
    </row>
    <row r="68" spans="3:15" ht="13.5" thickBot="1" x14ac:dyDescent="0.35">
      <c r="C68" s="228">
        <f>J45</f>
        <v>7.625</v>
      </c>
      <c r="D68" s="229" t="s">
        <v>154</v>
      </c>
      <c r="E68" s="211"/>
      <c r="F68" s="211"/>
      <c r="G68" s="211"/>
      <c r="H68" s="211"/>
      <c r="I68" s="230"/>
      <c r="J68" s="97">
        <f>$J$73*J45/(J75/J60)</f>
        <v>226.78738808148037</v>
      </c>
    </row>
    <row r="69" spans="3:15" ht="13.5" thickBot="1" x14ac:dyDescent="0.35">
      <c r="C69" s="225" t="s">
        <v>70</v>
      </c>
      <c r="D69" s="225"/>
      <c r="E69" s="231"/>
      <c r="F69" s="231"/>
      <c r="G69" s="231"/>
      <c r="H69" s="231"/>
      <c r="I69" s="231"/>
      <c r="J69" s="232"/>
      <c r="L69" s="54"/>
    </row>
    <row r="70" spans="3:15" ht="13.5" thickBot="1" x14ac:dyDescent="0.35">
      <c r="C70" s="228">
        <f>J61</f>
        <v>7.85</v>
      </c>
      <c r="D70" s="229" t="s">
        <v>154</v>
      </c>
      <c r="E70" s="211"/>
      <c r="F70" s="211"/>
      <c r="G70" s="211"/>
      <c r="H70" s="211"/>
      <c r="I70" s="211"/>
      <c r="J70" s="97">
        <f>$J$73*J61/(J75/J60)</f>
        <v>233.47947494290108</v>
      </c>
    </row>
    <row r="71" spans="3:15" ht="13.5" thickBot="1" x14ac:dyDescent="0.35">
      <c r="C71" s="248" t="s">
        <v>71</v>
      </c>
      <c r="D71" s="249"/>
      <c r="E71" s="249"/>
      <c r="F71" s="249"/>
      <c r="G71" s="249"/>
      <c r="H71" s="249"/>
      <c r="I71" s="249"/>
      <c r="J71" s="250"/>
    </row>
    <row r="72" spans="3:15" ht="13.5" thickBot="1" x14ac:dyDescent="0.35">
      <c r="C72" s="123" t="s">
        <v>72</v>
      </c>
      <c r="D72" s="124"/>
      <c r="E72" s="124"/>
      <c r="F72" s="124"/>
      <c r="G72" s="124"/>
      <c r="H72" s="124"/>
      <c r="I72" s="124"/>
      <c r="J72" s="125"/>
      <c r="M72" s="196"/>
    </row>
    <row r="73" spans="3:15" ht="13.5" thickBot="1" x14ac:dyDescent="0.35">
      <c r="C73" s="103"/>
      <c r="D73" s="104"/>
      <c r="E73" s="104"/>
      <c r="F73" s="104"/>
      <c r="G73" s="104"/>
      <c r="H73" s="105"/>
      <c r="I73" s="106" t="s">
        <v>73</v>
      </c>
      <c r="J73" s="107">
        <v>227</v>
      </c>
    </row>
    <row r="74" spans="3:15" ht="13.5" thickBot="1" x14ac:dyDescent="0.35">
      <c r="C74" s="41" t="s">
        <v>60</v>
      </c>
      <c r="D74" s="42"/>
      <c r="E74" s="135">
        <f>J16</f>
        <v>70.709999999999994</v>
      </c>
      <c r="F74" s="57" t="s">
        <v>74</v>
      </c>
      <c r="G74" s="58" t="s">
        <v>75</v>
      </c>
      <c r="H74" s="205">
        <f>J73</f>
        <v>227</v>
      </c>
      <c r="I74" s="67" t="s">
        <v>159</v>
      </c>
      <c r="J74" s="265">
        <f>1/J73*25.4*J16/254</f>
        <v>3.1149779735682819E-2</v>
      </c>
    </row>
    <row r="75" spans="3:15" ht="13.5" thickBot="1" x14ac:dyDescent="0.35">
      <c r="C75" s="41" t="s">
        <v>60</v>
      </c>
      <c r="D75" s="42"/>
      <c r="E75" s="204">
        <f>J16</f>
        <v>70.709999999999994</v>
      </c>
      <c r="F75" s="203" t="s">
        <v>74</v>
      </c>
      <c r="G75" s="58" t="s">
        <v>75</v>
      </c>
      <c r="H75" s="205">
        <f>J73</f>
        <v>227</v>
      </c>
      <c r="I75" s="67" t="s">
        <v>158</v>
      </c>
      <c r="J75" s="297">
        <f>1/J74</f>
        <v>32.102955734690994</v>
      </c>
      <c r="K75" s="298" t="str">
        <f>IF($J$76&lt;$J$46, "  Warning!  CoC Diameter at the Print (in lp/mm) is", "")</f>
        <v/>
      </c>
      <c r="L75" s="285"/>
      <c r="M75" s="285"/>
      <c r="N75" s="285"/>
      <c r="O75" s="286"/>
    </row>
    <row r="76" spans="3:15" ht="13.5" thickBot="1" x14ac:dyDescent="0.35">
      <c r="C76" s="41" t="s">
        <v>76</v>
      </c>
      <c r="D76" s="42"/>
      <c r="E76" s="206">
        <f>I59</f>
        <v>8.2799999999999994</v>
      </c>
      <c r="F76" s="207">
        <f>J59</f>
        <v>8.2799999999999994</v>
      </c>
      <c r="G76" s="143"/>
      <c r="H76" s="57"/>
      <c r="I76" s="245" t="s">
        <v>155</v>
      </c>
      <c r="J76" s="297">
        <f>ROUND(J75/J60, 2)</f>
        <v>7.63</v>
      </c>
      <c r="K76" s="305" t="str">
        <f>IF($J$76&lt;$J$46, "  less than your Desired Print Resolution!  INCREASE", " Good:  This equals or exceeds your Desired Print Resolution.")</f>
        <v xml:space="preserve"> Good:  This equals or exceeds your Desired Print Resolution.</v>
      </c>
      <c r="L76" s="2"/>
      <c r="M76" s="2"/>
      <c r="N76" s="2"/>
      <c r="O76" s="306"/>
    </row>
    <row r="77" spans="3:15" ht="13" x14ac:dyDescent="0.3">
      <c r="C77" s="2" t="s">
        <v>77</v>
      </c>
      <c r="D77" s="2"/>
      <c r="K77" s="299" t="str">
        <f>IF($J$76&lt;$J$46, "  the specified Denominator for Max. CoC (1/nnn inch).", "")</f>
        <v/>
      </c>
      <c r="L77" s="288"/>
      <c r="M77" s="288"/>
      <c r="N77" s="288"/>
      <c r="O77" s="289"/>
    </row>
    <row r="78" spans="3:15" ht="13" thickBot="1" x14ac:dyDescent="0.3">
      <c r="C78" s="2"/>
      <c r="D78" s="2"/>
    </row>
    <row r="79" spans="3:15" ht="13.5" thickBot="1" x14ac:dyDescent="0.35">
      <c r="C79" s="17" t="s">
        <v>78</v>
      </c>
      <c r="D79" s="20" t="s">
        <v>79</v>
      </c>
      <c r="E79" s="21"/>
      <c r="F79" s="22"/>
      <c r="G79" s="21"/>
      <c r="H79" s="23"/>
      <c r="I79" s="23"/>
      <c r="J79" s="23"/>
    </row>
    <row r="80" spans="3:15" ht="13.5" thickBot="1" x14ac:dyDescent="0.35">
      <c r="C80" s="201" t="s">
        <v>80</v>
      </c>
      <c r="D80" s="197"/>
      <c r="E80" s="197"/>
      <c r="F80" s="197"/>
      <c r="G80" s="197"/>
      <c r="H80" s="197"/>
      <c r="I80" s="197"/>
      <c r="J80" s="256"/>
    </row>
    <row r="81" spans="3:30" ht="13.5" thickBot="1" x14ac:dyDescent="0.35">
      <c r="C81" s="41"/>
      <c r="D81" s="213"/>
      <c r="E81" s="214"/>
      <c r="F81" s="215"/>
      <c r="G81" s="214"/>
      <c r="H81" s="216"/>
      <c r="I81" s="217" t="s">
        <v>196</v>
      </c>
      <c r="J81" s="121">
        <f>25*5/J61</f>
        <v>15.923566878980893</v>
      </c>
    </row>
    <row r="82" spans="3:30" ht="13.5" thickBot="1" x14ac:dyDescent="0.35">
      <c r="C82" s="41"/>
      <c r="D82" s="213"/>
      <c r="E82" s="214"/>
      <c r="F82" s="215"/>
      <c r="G82" s="214"/>
      <c r="H82" s="216"/>
      <c r="I82" s="217" t="s">
        <v>197</v>
      </c>
      <c r="J82" s="121">
        <f>25*5/J76</f>
        <v>16.382699868938403</v>
      </c>
    </row>
    <row r="83" spans="3:30" ht="13.5" thickBot="1" x14ac:dyDescent="0.35">
      <c r="C83" s="41"/>
      <c r="D83" s="42"/>
      <c r="E83" s="43"/>
      <c r="F83" s="57"/>
      <c r="G83" s="43"/>
      <c r="H83" s="246"/>
      <c r="I83" s="120" t="s">
        <v>81</v>
      </c>
      <c r="J83" s="191">
        <f>ROUND(IF(J81&gt;J82,J81,J82),1)</f>
        <v>16.399999999999999</v>
      </c>
      <c r="K83" s="190"/>
      <c r="L83" s="190"/>
      <c r="M83" s="190"/>
      <c r="N83" s="190"/>
    </row>
    <row r="84" spans="3:30" ht="13.5" thickBot="1" x14ac:dyDescent="0.35">
      <c r="C84" s="198" t="s">
        <v>82</v>
      </c>
      <c r="D84" s="199"/>
      <c r="E84" s="198"/>
      <c r="F84" s="198"/>
      <c r="G84" s="200"/>
      <c r="H84" s="244" t="s">
        <v>83</v>
      </c>
      <c r="I84" s="244"/>
      <c r="J84" s="295">
        <f>ROUND((J83/2.54),2)</f>
        <v>6.46</v>
      </c>
      <c r="K84" s="296" t="str">
        <f>IF(ROUND($J$83,2)&gt;25, " Caution: This Viewing Distance exceeds 9.84 inches (25cm).", " Good:  Print will tolerate scrutiny at 9.84 inches (25 cm).")</f>
        <v xml:space="preserve"> Good:  Print will tolerate scrutiny at 9.84 inches (25 cm).</v>
      </c>
      <c r="L84" s="293"/>
      <c r="M84" s="293"/>
      <c r="N84" s="293"/>
      <c r="O84" s="294"/>
    </row>
    <row r="85" spans="3:30" ht="13" x14ac:dyDescent="0.3">
      <c r="C85" s="2"/>
      <c r="D85" s="101"/>
      <c r="E85" s="2"/>
      <c r="F85" s="2"/>
      <c r="G85" s="102"/>
      <c r="H85" s="2"/>
      <c r="I85" s="2"/>
      <c r="J85" s="263"/>
      <c r="Q85" s="327"/>
      <c r="R85" s="82"/>
      <c r="S85" s="327"/>
      <c r="T85" s="329"/>
      <c r="U85" s="332"/>
      <c r="V85" s="82"/>
      <c r="W85" s="329"/>
      <c r="X85" s="333"/>
      <c r="Y85" s="333"/>
      <c r="Z85" s="333"/>
      <c r="AA85" s="82"/>
      <c r="AB85" s="82"/>
      <c r="AC85" s="82"/>
      <c r="AD85" s="82"/>
    </row>
    <row r="86" spans="3:30" ht="13" x14ac:dyDescent="0.3">
      <c r="C86" s="2"/>
      <c r="D86" s="101"/>
      <c r="E86" s="2"/>
      <c r="F86" s="2"/>
      <c r="G86" s="102"/>
      <c r="H86" s="2"/>
      <c r="I86" s="2"/>
      <c r="J86" s="263"/>
      <c r="Q86" s="327"/>
      <c r="R86" s="82"/>
      <c r="S86" s="327"/>
      <c r="T86" s="329"/>
      <c r="U86" s="332"/>
      <c r="V86" s="82"/>
      <c r="W86" s="329"/>
      <c r="X86" s="333"/>
      <c r="Y86" s="333"/>
      <c r="Z86" s="333"/>
      <c r="AA86" s="82"/>
      <c r="AB86" s="82"/>
      <c r="AC86" s="82"/>
      <c r="AD86" s="82"/>
    </row>
    <row r="87" spans="3:30" ht="13.5" thickBot="1" x14ac:dyDescent="0.35">
      <c r="K87" s="54"/>
      <c r="L87" s="54"/>
      <c r="M87" s="54"/>
      <c r="Q87" s="327"/>
      <c r="R87" s="327"/>
      <c r="S87" s="82"/>
      <c r="T87" s="82"/>
      <c r="U87" s="332"/>
      <c r="V87" s="82"/>
      <c r="W87" s="329"/>
      <c r="X87" s="333"/>
      <c r="Y87" s="333"/>
      <c r="Z87" s="333"/>
      <c r="AA87" s="82"/>
      <c r="AB87" s="82"/>
      <c r="AC87" s="82"/>
      <c r="AD87" s="82"/>
    </row>
    <row r="88" spans="3:30" ht="13.5" thickBot="1" x14ac:dyDescent="0.35">
      <c r="C88" s="17" t="s">
        <v>178</v>
      </c>
      <c r="D88" s="20" t="s">
        <v>185</v>
      </c>
      <c r="E88" s="21"/>
      <c r="F88" s="22"/>
      <c r="G88" s="21"/>
      <c r="H88" s="23"/>
      <c r="I88" s="23"/>
      <c r="J88" s="23"/>
      <c r="K88" s="307"/>
      <c r="L88" s="54"/>
      <c r="M88" s="54"/>
      <c r="Q88" s="329"/>
      <c r="R88" s="329"/>
      <c r="S88" s="329"/>
      <c r="T88" s="329"/>
      <c r="U88" s="329"/>
      <c r="V88" s="329"/>
      <c r="W88" s="329"/>
      <c r="X88" s="329"/>
      <c r="Y88" s="329"/>
      <c r="Z88" s="329"/>
      <c r="AA88" s="82"/>
      <c r="AB88" s="82"/>
      <c r="AC88" s="82"/>
      <c r="AD88" s="82"/>
    </row>
    <row r="89" spans="3:30" ht="13.5" thickBot="1" x14ac:dyDescent="0.35">
      <c r="C89" s="201" t="s">
        <v>84</v>
      </c>
      <c r="D89" s="197"/>
      <c r="E89" s="197"/>
      <c r="F89" s="197"/>
      <c r="G89" s="197"/>
      <c r="H89" s="197"/>
      <c r="I89" s="197"/>
      <c r="J89" s="256"/>
      <c r="Q89" s="334"/>
      <c r="R89" s="334"/>
      <c r="S89" s="82"/>
      <c r="T89" s="82"/>
      <c r="U89" s="82"/>
      <c r="V89" s="82"/>
      <c r="W89" s="82"/>
      <c r="X89" s="82"/>
      <c r="Y89" s="82"/>
      <c r="Z89" s="334"/>
      <c r="AA89" s="82"/>
      <c r="AB89" s="327"/>
      <c r="AC89" s="327"/>
      <c r="AD89" s="327"/>
    </row>
    <row r="90" spans="3:30" ht="13.5" thickBot="1" x14ac:dyDescent="0.35">
      <c r="C90" s="248" t="s">
        <v>189</v>
      </c>
      <c r="D90" s="249"/>
      <c r="E90" s="249"/>
      <c r="F90" s="249"/>
      <c r="G90" s="249"/>
      <c r="H90" s="249"/>
      <c r="I90" s="249"/>
      <c r="J90" s="250"/>
      <c r="K90" s="193"/>
      <c r="Q90" s="327"/>
      <c r="R90" s="327"/>
      <c r="S90" s="327"/>
      <c r="T90" s="82"/>
      <c r="U90" s="82"/>
      <c r="V90" s="82"/>
      <c r="W90" s="82"/>
      <c r="X90" s="335"/>
      <c r="Y90" s="335"/>
      <c r="Z90" s="336"/>
      <c r="AA90" s="337"/>
      <c r="AB90" s="327"/>
      <c r="AC90" s="327"/>
      <c r="AD90" s="330"/>
    </row>
    <row r="91" spans="3:30" ht="13.5" thickBot="1" x14ac:dyDescent="0.35">
      <c r="C91" s="273" t="s">
        <v>85</v>
      </c>
      <c r="D91" s="274"/>
      <c r="E91" s="204">
        <f>J16</f>
        <v>70.709999999999994</v>
      </c>
      <c r="F91" s="203" t="s">
        <v>74</v>
      </c>
      <c r="G91" s="275" t="s">
        <v>86</v>
      </c>
      <c r="H91" s="276">
        <f>J73</f>
        <v>227</v>
      </c>
      <c r="I91" s="277" t="s">
        <v>184</v>
      </c>
      <c r="J91" s="291">
        <f>J74 /  0.001353831438675</f>
        <v>23.008610116314944</v>
      </c>
      <c r="K91" s="292" t="s">
        <v>182</v>
      </c>
      <c r="L91" s="293"/>
      <c r="M91" s="293"/>
      <c r="N91" s="293"/>
      <c r="O91" s="294"/>
      <c r="Q91" s="327"/>
      <c r="R91" s="327"/>
      <c r="S91" s="327"/>
      <c r="T91" s="82"/>
      <c r="U91" s="82"/>
      <c r="V91" s="82"/>
      <c r="W91" s="82"/>
      <c r="X91" s="335"/>
      <c r="Y91" s="335"/>
      <c r="Z91" s="336"/>
      <c r="AA91" s="82"/>
      <c r="AB91" s="82"/>
      <c r="AC91" s="82"/>
      <c r="AD91" s="82"/>
    </row>
    <row r="92" spans="3:30" ht="13.5" thickBot="1" x14ac:dyDescent="0.35">
      <c r="C92" s="41"/>
      <c r="D92" s="42"/>
      <c r="E92" s="135"/>
      <c r="F92" s="57"/>
      <c r="G92" s="58"/>
      <c r="H92" s="278" t="s">
        <v>204</v>
      </c>
      <c r="I92" s="261">
        <f>J91</f>
        <v>23.008610116314944</v>
      </c>
      <c r="J92" s="290">
        <f>SQRT(($J$74*$J$74)*2)</f>
        <v>4.405244096713725E-2</v>
      </c>
      <c r="K92" s="284" t="s">
        <v>203</v>
      </c>
      <c r="L92" s="285"/>
      <c r="M92" s="285"/>
      <c r="N92" s="285"/>
      <c r="O92" s="286"/>
      <c r="Q92" s="327"/>
      <c r="R92" s="327"/>
      <c r="S92" s="338"/>
      <c r="T92" s="331"/>
      <c r="U92" s="82"/>
      <c r="V92" s="327"/>
      <c r="W92" s="335"/>
      <c r="X92" s="339"/>
      <c r="Y92" s="340"/>
      <c r="Z92" s="331"/>
      <c r="AA92" s="82"/>
      <c r="AB92" s="82"/>
      <c r="AC92" s="82"/>
      <c r="AD92" s="82"/>
    </row>
    <row r="93" spans="3:30" ht="13.5" thickBot="1" x14ac:dyDescent="0.35">
      <c r="C93" s="41"/>
      <c r="D93" s="42"/>
      <c r="E93" s="135"/>
      <c r="F93" s="57"/>
      <c r="G93" s="58"/>
      <c r="H93" s="278" t="s">
        <v>198</v>
      </c>
      <c r="I93" s="261">
        <f>J91</f>
        <v>23.008610116314944</v>
      </c>
      <c r="J93" s="290">
        <f>1/$J$92/$J$60</f>
        <v>5.3967438852752103</v>
      </c>
      <c r="K93" s="287" t="s">
        <v>202</v>
      </c>
      <c r="L93" s="288"/>
      <c r="M93" s="288"/>
      <c r="N93" s="288"/>
      <c r="O93" s="289"/>
      <c r="Q93" s="327"/>
      <c r="R93" s="327"/>
      <c r="S93" s="327"/>
      <c r="T93" s="335"/>
      <c r="U93" s="327"/>
      <c r="V93" s="327"/>
      <c r="W93" s="335"/>
      <c r="X93" s="339"/>
      <c r="Y93" s="340"/>
      <c r="Z93" s="331"/>
      <c r="AA93" s="82"/>
      <c r="AB93" s="82"/>
      <c r="AC93" s="82"/>
      <c r="AD93" s="82"/>
    </row>
    <row r="94" spans="3:30" ht="13.5" thickBot="1" x14ac:dyDescent="0.35">
      <c r="C94" s="41"/>
      <c r="D94" s="42"/>
      <c r="E94" s="135"/>
      <c r="F94" s="57"/>
      <c r="G94" s="58"/>
      <c r="H94" s="57"/>
      <c r="I94" s="279" t="s">
        <v>199</v>
      </c>
      <c r="J94" s="282">
        <f>1/(($J$95/25.4)*(254/$J$16))</f>
        <v>321.0264786586925</v>
      </c>
      <c r="K94" s="284" t="s">
        <v>200</v>
      </c>
      <c r="L94" s="285"/>
      <c r="M94" s="285"/>
      <c r="N94" s="285"/>
      <c r="O94" s="286"/>
      <c r="Q94" s="327"/>
      <c r="R94" s="327"/>
      <c r="S94" s="327"/>
      <c r="T94" s="335"/>
      <c r="U94" s="327"/>
      <c r="V94" s="327"/>
      <c r="W94" s="335"/>
      <c r="X94" s="339"/>
      <c r="Y94" s="340"/>
      <c r="Z94" s="328"/>
      <c r="AA94" s="82"/>
      <c r="AB94" s="82"/>
      <c r="AC94" s="82"/>
      <c r="AD94" s="82"/>
    </row>
    <row r="95" spans="3:30" ht="13" x14ac:dyDescent="0.3">
      <c r="J95" s="281">
        <f>SQRT(($J$74*$J$74)/2)</f>
        <v>2.2026220483568625E-2</v>
      </c>
      <c r="K95" s="287" t="s">
        <v>201</v>
      </c>
      <c r="L95" s="288"/>
      <c r="M95" s="288"/>
      <c r="N95" s="288"/>
      <c r="O95" s="289"/>
      <c r="Q95" s="327"/>
      <c r="R95" s="327"/>
      <c r="S95" s="327"/>
      <c r="T95" s="335"/>
      <c r="U95" s="327"/>
      <c r="V95" s="327"/>
      <c r="W95" s="335"/>
      <c r="X95" s="339"/>
      <c r="Y95" s="340"/>
      <c r="Z95" s="328"/>
      <c r="AA95" s="82"/>
      <c r="AB95" s="82"/>
      <c r="AC95" s="82"/>
      <c r="AD95" s="82"/>
    </row>
    <row r="96" spans="3:30" ht="13.5" thickBot="1" x14ac:dyDescent="0.35">
      <c r="J96" s="281"/>
      <c r="K96" s="283"/>
      <c r="L96" s="2"/>
      <c r="M96" s="2"/>
      <c r="N96" s="2"/>
      <c r="O96" s="2"/>
      <c r="Q96" s="327"/>
      <c r="R96" s="327"/>
      <c r="S96" s="327"/>
      <c r="T96" s="335"/>
      <c r="U96" s="327"/>
      <c r="V96" s="327"/>
      <c r="W96" s="335"/>
      <c r="X96" s="339"/>
      <c r="Y96" s="340"/>
      <c r="Z96" s="328"/>
      <c r="AA96" s="82"/>
      <c r="AB96" s="82"/>
      <c r="AC96" s="82"/>
      <c r="AD96" s="82"/>
    </row>
    <row r="97" spans="3:30" ht="13.5" thickBot="1" x14ac:dyDescent="0.35">
      <c r="C97" s="17"/>
      <c r="D97" s="350"/>
      <c r="E97" s="350"/>
      <c r="F97" s="350"/>
      <c r="G97" s="350" t="s">
        <v>213</v>
      </c>
      <c r="H97" s="350"/>
      <c r="I97" s="350"/>
      <c r="J97" s="351"/>
      <c r="K97" s="352"/>
      <c r="L97" s="2"/>
      <c r="M97" s="2"/>
      <c r="N97" s="2"/>
      <c r="O97" s="2"/>
      <c r="Q97" s="327"/>
      <c r="R97" s="327"/>
      <c r="S97" s="327"/>
      <c r="T97" s="335"/>
      <c r="U97" s="327"/>
      <c r="V97" s="327"/>
      <c r="W97" s="335"/>
      <c r="X97" s="339"/>
      <c r="Y97" s="340"/>
      <c r="Z97" s="328"/>
      <c r="AA97" s="82"/>
      <c r="AB97" s="82"/>
      <c r="AC97" s="82"/>
      <c r="AD97" s="82"/>
    </row>
    <row r="98" spans="3:30" ht="13" x14ac:dyDescent="0.3">
      <c r="J98" s="281"/>
      <c r="K98" s="283"/>
      <c r="L98" s="2"/>
      <c r="M98" s="2"/>
      <c r="N98" s="2"/>
      <c r="O98" s="2"/>
      <c r="Q98" s="327"/>
      <c r="R98" s="327"/>
      <c r="S98" s="327"/>
      <c r="T98" s="335"/>
      <c r="U98" s="327"/>
      <c r="V98" s="327"/>
      <c r="W98" s="335"/>
      <c r="X98" s="339"/>
      <c r="Y98" s="340"/>
      <c r="Z98" s="328"/>
      <c r="AA98" s="82"/>
      <c r="AB98" s="82"/>
      <c r="AC98" s="82"/>
      <c r="AD98" s="82"/>
    </row>
    <row r="99" spans="3:30" ht="13" x14ac:dyDescent="0.3">
      <c r="C99" s="2" t="s">
        <v>208</v>
      </c>
      <c r="D99" s="101"/>
      <c r="E99" s="2"/>
      <c r="F99" s="2"/>
      <c r="G99" s="102"/>
      <c r="H99" s="2"/>
      <c r="I99" s="308" t="s">
        <v>205</v>
      </c>
      <c r="J99" s="263"/>
      <c r="Q99" s="327"/>
      <c r="R99" s="82"/>
      <c r="S99" s="327"/>
      <c r="T99" s="329"/>
      <c r="U99" s="332"/>
      <c r="V99" s="82"/>
      <c r="W99" s="329"/>
      <c r="X99" s="333"/>
      <c r="Y99" s="333"/>
      <c r="Z99" s="333"/>
      <c r="AA99" s="82"/>
      <c r="AB99" s="82"/>
      <c r="AC99" s="82"/>
      <c r="AD99" s="82"/>
    </row>
    <row r="100" spans="3:30" ht="15" x14ac:dyDescent="0.4">
      <c r="C100" s="2" t="s">
        <v>215</v>
      </c>
      <c r="D100" s="101"/>
      <c r="E100" s="2"/>
      <c r="F100" s="2"/>
      <c r="G100" s="102"/>
      <c r="H100" s="2"/>
      <c r="I100" s="2"/>
      <c r="J100" s="309"/>
      <c r="L100" s="327" t="s">
        <v>214</v>
      </c>
      <c r="Q100" s="327"/>
      <c r="R100" s="82"/>
      <c r="S100" s="327"/>
      <c r="T100" s="329"/>
      <c r="U100" s="332"/>
      <c r="V100" s="82"/>
      <c r="W100" s="329"/>
      <c r="X100" s="333"/>
      <c r="Y100" s="333"/>
      <c r="Z100" s="333"/>
      <c r="AA100" s="82"/>
      <c r="AB100" s="82"/>
      <c r="AC100" s="82"/>
      <c r="AD100" s="82"/>
    </row>
    <row r="101" spans="3:30" ht="13.5" thickBot="1" x14ac:dyDescent="0.35">
      <c r="C101" s="309"/>
      <c r="D101" s="101"/>
      <c r="E101" s="2"/>
      <c r="F101" s="2"/>
      <c r="G101" s="102"/>
      <c r="H101" s="2"/>
      <c r="I101" s="2"/>
      <c r="J101" s="263"/>
      <c r="Q101" s="327"/>
      <c r="R101" s="82"/>
      <c r="S101" s="327"/>
      <c r="T101" s="329"/>
      <c r="U101" s="332"/>
      <c r="V101" s="82"/>
      <c r="W101" s="329"/>
      <c r="X101" s="333"/>
      <c r="Y101" s="333"/>
      <c r="Z101" s="333"/>
      <c r="AA101" s="82"/>
      <c r="AB101" s="82"/>
      <c r="AC101" s="82"/>
      <c r="AD101" s="82"/>
    </row>
    <row r="102" spans="3:30" ht="15" x14ac:dyDescent="0.4">
      <c r="C102" s="316" t="s">
        <v>211</v>
      </c>
      <c r="D102" s="317"/>
      <c r="E102" s="318"/>
      <c r="F102" s="318"/>
      <c r="G102" s="319"/>
      <c r="H102" s="318"/>
      <c r="I102" s="318"/>
      <c r="J102" s="320"/>
      <c r="K102" s="321"/>
      <c r="Q102" s="327"/>
      <c r="R102" s="82"/>
      <c r="S102" s="327"/>
      <c r="T102" s="329"/>
      <c r="U102" s="332"/>
      <c r="V102" s="82"/>
      <c r="W102" s="329"/>
      <c r="X102" s="333"/>
      <c r="Y102" s="333"/>
      <c r="Z102" s="333"/>
      <c r="AA102" s="82"/>
      <c r="AB102" s="82"/>
      <c r="AC102" s="82"/>
      <c r="AD102" s="82"/>
    </row>
    <row r="103" spans="3:30" ht="13" x14ac:dyDescent="0.3">
      <c r="C103" s="322" t="s">
        <v>216</v>
      </c>
      <c r="D103" s="313"/>
      <c r="E103" s="312"/>
      <c r="F103" s="312"/>
      <c r="G103" s="314"/>
      <c r="H103" s="312"/>
      <c r="I103" s="312"/>
      <c r="J103" s="315"/>
      <c r="K103" s="323"/>
      <c r="Q103" s="327"/>
      <c r="R103" s="82"/>
      <c r="S103" s="327"/>
      <c r="T103" s="329"/>
      <c r="U103" s="332"/>
      <c r="V103" s="82"/>
      <c r="W103" s="329"/>
      <c r="X103" s="333"/>
      <c r="Y103" s="333"/>
      <c r="Z103" s="333"/>
      <c r="AA103" s="82"/>
      <c r="AB103" s="82"/>
      <c r="AC103" s="82"/>
      <c r="AD103" s="82"/>
    </row>
    <row r="104" spans="3:30" ht="15" x14ac:dyDescent="0.4">
      <c r="C104" s="322" t="s">
        <v>220</v>
      </c>
      <c r="D104" s="313"/>
      <c r="E104" s="312"/>
      <c r="F104" s="312"/>
      <c r="G104" s="314"/>
      <c r="H104" s="312"/>
      <c r="I104" s="312"/>
      <c r="J104" s="315"/>
      <c r="K104" s="323"/>
      <c r="Q104" s="327"/>
      <c r="R104" s="82"/>
      <c r="S104" s="327"/>
      <c r="T104" s="329"/>
      <c r="U104" s="332"/>
      <c r="V104" s="82"/>
      <c r="W104" s="329"/>
      <c r="X104" s="333"/>
      <c r="Y104" s="333"/>
      <c r="Z104" s="333"/>
      <c r="AA104" s="82"/>
      <c r="AB104" s="82"/>
      <c r="AC104" s="82"/>
      <c r="AD104" s="82"/>
    </row>
    <row r="105" spans="3:30" ht="13.5" thickBot="1" x14ac:dyDescent="0.35">
      <c r="C105" s="311"/>
      <c r="D105" s="324"/>
      <c r="E105" s="311"/>
      <c r="F105" s="311"/>
      <c r="G105" s="325"/>
      <c r="H105" s="311"/>
      <c r="I105" s="311"/>
      <c r="J105" s="326"/>
      <c r="K105" s="311"/>
      <c r="Q105" s="327"/>
      <c r="R105" s="82"/>
      <c r="S105" s="327"/>
      <c r="T105" s="329"/>
      <c r="U105" s="332"/>
      <c r="V105" s="82"/>
      <c r="W105" s="329"/>
      <c r="X105" s="333"/>
      <c r="Y105" s="333"/>
      <c r="Z105" s="333"/>
      <c r="AA105" s="82"/>
      <c r="AB105" s="82"/>
      <c r="AC105" s="82"/>
      <c r="AD105" s="82"/>
    </row>
    <row r="106" spans="3:30" ht="13" x14ac:dyDescent="0.3">
      <c r="D106" s="348" t="s">
        <v>209</v>
      </c>
      <c r="E106" s="387" t="s">
        <v>228</v>
      </c>
      <c r="F106" s="380"/>
      <c r="G106" s="381"/>
      <c r="H106" s="382"/>
      <c r="I106" s="381"/>
      <c r="J106" s="383"/>
      <c r="K106" s="384"/>
      <c r="Q106" s="327"/>
      <c r="R106" s="82"/>
      <c r="S106" s="327"/>
      <c r="T106" s="329"/>
      <c r="U106" s="332"/>
      <c r="V106" s="82"/>
      <c r="W106" s="329"/>
      <c r="X106" s="333"/>
      <c r="Y106" s="333"/>
      <c r="Z106" s="333"/>
      <c r="AA106" s="82"/>
      <c r="AB106" s="82"/>
      <c r="AC106" s="82"/>
      <c r="AD106" s="82"/>
    </row>
    <row r="107" spans="3:30" ht="15" x14ac:dyDescent="0.4">
      <c r="D107" s="349" t="s">
        <v>210</v>
      </c>
      <c r="E107" s="385" t="s">
        <v>207</v>
      </c>
      <c r="F107" s="367" t="s">
        <v>221</v>
      </c>
      <c r="G107" s="366"/>
      <c r="H107" s="366"/>
      <c r="I107" s="366"/>
      <c r="J107" s="366"/>
      <c r="K107" s="370"/>
      <c r="Q107" s="327"/>
      <c r="R107" s="82"/>
      <c r="S107" s="327"/>
      <c r="T107" s="329"/>
      <c r="U107" s="332"/>
      <c r="V107" s="82"/>
      <c r="W107" s="329"/>
      <c r="X107" s="333"/>
      <c r="Y107" s="333"/>
      <c r="Z107" s="333"/>
      <c r="AA107" s="82"/>
      <c r="AB107" s="82"/>
      <c r="AC107" s="82"/>
      <c r="AD107" s="82"/>
    </row>
    <row r="108" spans="3:30" ht="13.5" thickBot="1" x14ac:dyDescent="0.35">
      <c r="D108" s="349" t="s">
        <v>206</v>
      </c>
      <c r="E108" s="386" t="s">
        <v>212</v>
      </c>
      <c r="F108" s="372"/>
      <c r="G108" s="373"/>
      <c r="H108" s="373"/>
      <c r="I108" s="373"/>
      <c r="J108" s="373"/>
      <c r="K108" s="375"/>
      <c r="Q108" s="327"/>
      <c r="R108" s="82"/>
      <c r="S108" s="327"/>
      <c r="T108" s="329"/>
      <c r="U108" s="332"/>
      <c r="V108" s="82"/>
      <c r="W108" s="329"/>
      <c r="X108" s="333"/>
      <c r="Y108" s="333"/>
      <c r="Z108" s="333"/>
      <c r="AA108" s="82"/>
      <c r="AB108" s="82"/>
      <c r="AC108" s="82"/>
      <c r="AD108" s="82"/>
    </row>
    <row r="109" spans="3:30" ht="13" x14ac:dyDescent="0.3">
      <c r="D109" s="342">
        <v>1</v>
      </c>
      <c r="E109" s="342">
        <f t="shared" ref="E109:E125" si="5">SQRT($J$74*738.644*D109)</f>
        <v>4.7967278329173215</v>
      </c>
      <c r="F109" s="366"/>
      <c r="G109" s="366"/>
      <c r="H109" s="366"/>
      <c r="I109" s="366"/>
      <c r="J109" s="369"/>
      <c r="K109" s="370"/>
      <c r="M109" s="327"/>
      <c r="N109" s="327"/>
      <c r="Q109" s="327"/>
      <c r="R109" s="82"/>
      <c r="S109" s="327"/>
      <c r="T109" s="329"/>
      <c r="U109" s="332"/>
      <c r="V109" s="82"/>
      <c r="W109" s="329"/>
      <c r="X109" s="333"/>
      <c r="Y109" s="333"/>
      <c r="Z109" s="333"/>
      <c r="AA109" s="82"/>
      <c r="AB109" s="82"/>
      <c r="AC109" s="82"/>
      <c r="AD109" s="82"/>
    </row>
    <row r="110" spans="3:30" ht="12.75" customHeight="1" x14ac:dyDescent="0.3">
      <c r="D110" s="343">
        <v>1.4</v>
      </c>
      <c r="E110" s="343">
        <f t="shared" si="5"/>
        <v>5.675564911470679</v>
      </c>
      <c r="F110" s="366" t="s">
        <v>222</v>
      </c>
      <c r="G110" s="366"/>
      <c r="H110" s="366"/>
      <c r="I110" s="366"/>
      <c r="J110" s="366"/>
      <c r="K110" s="368"/>
      <c r="M110" s="327"/>
      <c r="N110" s="327"/>
      <c r="Q110" s="327"/>
      <c r="R110" s="82"/>
      <c r="S110" s="327"/>
      <c r="T110" s="329"/>
      <c r="U110" s="332"/>
      <c r="V110" s="82"/>
      <c r="W110" s="329"/>
      <c r="X110" s="333"/>
      <c r="Y110" s="333"/>
      <c r="Z110" s="333"/>
      <c r="AA110" s="82"/>
      <c r="AB110" s="82"/>
      <c r="AC110" s="82"/>
      <c r="AD110" s="82"/>
    </row>
    <row r="111" spans="3:30" ht="13" x14ac:dyDescent="0.3">
      <c r="D111" s="343">
        <v>2</v>
      </c>
      <c r="E111" s="343">
        <f t="shared" si="5"/>
        <v>6.7835975563241808</v>
      </c>
      <c r="F111" s="366" t="s">
        <v>223</v>
      </c>
      <c r="G111" s="366"/>
      <c r="H111" s="366"/>
      <c r="I111" s="366"/>
      <c r="J111" s="366"/>
      <c r="K111" s="368"/>
      <c r="M111" s="327"/>
      <c r="N111" s="327"/>
      <c r="Q111" s="327"/>
      <c r="R111" s="82"/>
      <c r="S111" s="327"/>
      <c r="T111" s="329"/>
      <c r="U111" s="332"/>
      <c r="V111" s="82"/>
      <c r="W111" s="329"/>
      <c r="X111" s="333"/>
      <c r="Y111" s="333"/>
      <c r="Z111" s="333"/>
      <c r="AA111" s="82"/>
      <c r="AB111" s="82"/>
      <c r="AC111" s="82"/>
      <c r="AD111" s="82"/>
    </row>
    <row r="112" spans="3:30" ht="13" x14ac:dyDescent="0.3">
      <c r="D112" s="343">
        <v>2.8</v>
      </c>
      <c r="E112" s="343">
        <f t="shared" si="5"/>
        <v>8.0264608719306896</v>
      </c>
      <c r="F112" s="366" t="s">
        <v>224</v>
      </c>
      <c r="G112" s="366"/>
      <c r="H112" s="366"/>
      <c r="I112" s="366"/>
      <c r="J112" s="366"/>
      <c r="K112" s="368"/>
      <c r="M112" s="327"/>
      <c r="N112" s="327"/>
      <c r="O112" s="310"/>
      <c r="P112" s="310"/>
      <c r="Q112" s="327"/>
      <c r="R112" s="82"/>
      <c r="S112" s="327"/>
      <c r="T112" s="329"/>
      <c r="U112" s="332"/>
      <c r="V112" s="82"/>
      <c r="W112" s="329"/>
      <c r="X112" s="333"/>
      <c r="Y112" s="333"/>
      <c r="Z112" s="333"/>
      <c r="AA112" s="82"/>
      <c r="AB112" s="82"/>
      <c r="AC112" s="82"/>
      <c r="AD112" s="82"/>
    </row>
    <row r="113" spans="3:30" ht="13.5" thickBot="1" x14ac:dyDescent="0.35">
      <c r="D113" s="343">
        <v>4</v>
      </c>
      <c r="E113" s="343">
        <f t="shared" si="5"/>
        <v>9.593455665834643</v>
      </c>
      <c r="F113" s="373"/>
      <c r="G113" s="373"/>
      <c r="H113" s="373"/>
      <c r="I113" s="373"/>
      <c r="J113" s="374"/>
      <c r="K113" s="375"/>
      <c r="M113" s="327"/>
      <c r="N113" s="327"/>
      <c r="O113" s="327"/>
      <c r="P113" s="327"/>
      <c r="Q113" s="327"/>
      <c r="R113" s="82"/>
      <c r="S113" s="327"/>
      <c r="T113" s="329"/>
      <c r="U113" s="332"/>
      <c r="V113" s="82"/>
      <c r="W113" s="329"/>
      <c r="X113" s="333"/>
      <c r="Y113" s="333"/>
      <c r="Z113" s="333"/>
      <c r="AA113" s="82"/>
      <c r="AB113" s="82"/>
      <c r="AC113" s="82"/>
      <c r="AD113" s="82"/>
    </row>
    <row r="114" spans="3:30" ht="13" x14ac:dyDescent="0.3">
      <c r="D114" s="343">
        <v>5.6</v>
      </c>
      <c r="E114" s="343">
        <f t="shared" si="5"/>
        <v>11.351129822941358</v>
      </c>
      <c r="F114" s="371"/>
      <c r="G114" s="371"/>
      <c r="H114" s="371"/>
      <c r="I114" s="371"/>
      <c r="J114" s="371"/>
      <c r="K114" s="378"/>
      <c r="M114" s="327"/>
      <c r="N114" s="327"/>
      <c r="O114" s="327"/>
      <c r="P114" s="327"/>
      <c r="Q114" s="327"/>
      <c r="R114" s="82"/>
      <c r="S114" s="327"/>
      <c r="T114" s="329"/>
      <c r="U114" s="332"/>
      <c r="V114" s="82"/>
      <c r="W114" s="329"/>
      <c r="X114" s="333"/>
      <c r="Y114" s="333"/>
      <c r="Z114" s="333"/>
      <c r="AA114" s="82"/>
      <c r="AB114" s="82"/>
      <c r="AC114" s="82"/>
      <c r="AD114" s="82"/>
    </row>
    <row r="115" spans="3:30" ht="12.75" customHeight="1" x14ac:dyDescent="0.4">
      <c r="D115" s="343">
        <v>8</v>
      </c>
      <c r="E115" s="343">
        <f t="shared" si="5"/>
        <v>13.567195112648362</v>
      </c>
      <c r="F115" s="366" t="s">
        <v>226</v>
      </c>
      <c r="G115" s="366"/>
      <c r="H115" s="366"/>
      <c r="I115" s="366"/>
      <c r="J115" s="366"/>
      <c r="K115" s="379">
        <f>$J$91</f>
        <v>23.008610116314944</v>
      </c>
      <c r="M115" s="267"/>
      <c r="N115" s="334"/>
      <c r="O115" s="327"/>
      <c r="P115" s="327"/>
      <c r="Q115" s="327"/>
      <c r="R115" s="82"/>
      <c r="S115" s="327"/>
      <c r="T115" s="329"/>
      <c r="U115" s="332"/>
      <c r="V115" s="82"/>
      <c r="W115" s="329"/>
      <c r="X115" s="333"/>
      <c r="Y115" s="333"/>
      <c r="Z115" s="333"/>
      <c r="AA115" s="82"/>
      <c r="AB115" s="82"/>
      <c r="AC115" s="82"/>
      <c r="AD115" s="82"/>
    </row>
    <row r="116" spans="3:30" ht="13" x14ac:dyDescent="0.3">
      <c r="D116" s="343">
        <v>11.3</v>
      </c>
      <c r="E116" s="343">
        <f t="shared" si="5"/>
        <v>16.124427317112563</v>
      </c>
      <c r="F116" s="366" t="s">
        <v>225</v>
      </c>
      <c r="G116" s="366"/>
      <c r="H116" s="366"/>
      <c r="I116" s="366"/>
      <c r="J116" s="366"/>
      <c r="K116" s="370"/>
      <c r="M116" s="327"/>
      <c r="N116" s="327"/>
      <c r="O116" s="327"/>
      <c r="P116" s="327"/>
      <c r="Q116" s="327"/>
      <c r="R116" s="82"/>
      <c r="S116" s="327"/>
      <c r="T116" s="329"/>
      <c r="U116" s="332"/>
      <c r="V116" s="82"/>
      <c r="W116" s="329"/>
      <c r="X116" s="333"/>
      <c r="Y116" s="333"/>
      <c r="Z116" s="333"/>
      <c r="AA116" s="82"/>
      <c r="AB116" s="82"/>
      <c r="AC116" s="82"/>
      <c r="AD116" s="82"/>
    </row>
    <row r="117" spans="3:30" ht="13" x14ac:dyDescent="0.3">
      <c r="D117" s="343">
        <v>16</v>
      </c>
      <c r="E117" s="343">
        <f t="shared" si="5"/>
        <v>19.186911331669286</v>
      </c>
      <c r="F117" s="366" t="s">
        <v>227</v>
      </c>
      <c r="G117" s="366"/>
      <c r="H117" s="366"/>
      <c r="I117" s="366"/>
      <c r="J117" s="369"/>
      <c r="K117" s="370"/>
      <c r="L117" s="2"/>
      <c r="M117" s="327"/>
      <c r="N117" s="327"/>
      <c r="O117" s="327"/>
      <c r="P117" s="327"/>
      <c r="Q117" s="327"/>
      <c r="R117" s="82"/>
      <c r="S117" s="327"/>
      <c r="T117" s="329"/>
      <c r="U117" s="332"/>
      <c r="V117" s="82"/>
      <c r="W117" s="329"/>
      <c r="X117" s="333"/>
      <c r="Y117" s="333"/>
      <c r="Z117" s="333"/>
      <c r="AA117" s="82"/>
      <c r="AB117" s="82"/>
      <c r="AC117" s="82"/>
      <c r="AD117" s="82"/>
    </row>
    <row r="118" spans="3:30" ht="13.5" thickBot="1" x14ac:dyDescent="0.35">
      <c r="D118" s="343">
        <v>22.6</v>
      </c>
      <c r="E118" s="343">
        <f t="shared" si="5"/>
        <v>22.803383797359803</v>
      </c>
      <c r="F118" s="376"/>
      <c r="G118" s="376"/>
      <c r="H118" s="376"/>
      <c r="I118" s="376"/>
      <c r="J118" s="376"/>
      <c r="K118" s="377"/>
      <c r="M118" s="327"/>
      <c r="N118" s="327"/>
      <c r="O118" s="327"/>
      <c r="P118" s="327"/>
      <c r="Q118" s="327"/>
      <c r="R118" s="82"/>
      <c r="S118" s="327"/>
      <c r="T118" s="329"/>
      <c r="U118" s="332"/>
      <c r="V118" s="82"/>
      <c r="W118" s="329"/>
      <c r="X118" s="333"/>
      <c r="Y118" s="333"/>
      <c r="Z118" s="333"/>
      <c r="AA118" s="82"/>
      <c r="AB118" s="82"/>
      <c r="AC118" s="82"/>
      <c r="AD118" s="82"/>
    </row>
    <row r="119" spans="3:30" ht="12.75" customHeight="1" x14ac:dyDescent="0.3">
      <c r="D119" s="343">
        <v>32</v>
      </c>
      <c r="E119" s="343">
        <f t="shared" si="5"/>
        <v>27.134390225296723</v>
      </c>
      <c r="M119" s="327"/>
      <c r="N119" s="327"/>
      <c r="O119" s="327"/>
      <c r="P119" s="327"/>
      <c r="Q119" s="327"/>
      <c r="R119" s="82"/>
      <c r="S119" s="327"/>
      <c r="T119" s="329"/>
      <c r="U119" s="332"/>
      <c r="V119" s="82"/>
      <c r="W119" s="329"/>
      <c r="X119" s="333"/>
      <c r="Y119" s="333"/>
      <c r="Z119" s="333"/>
      <c r="AA119" s="82"/>
      <c r="AB119" s="82"/>
      <c r="AC119" s="82"/>
      <c r="AD119" s="82"/>
    </row>
    <row r="120" spans="3:30" ht="13" x14ac:dyDescent="0.3">
      <c r="D120" s="343">
        <v>45.3</v>
      </c>
      <c r="E120" s="343">
        <f t="shared" si="5"/>
        <v>32.284508436860108</v>
      </c>
      <c r="M120" s="327"/>
      <c r="N120" s="327"/>
      <c r="O120" s="327"/>
      <c r="P120" s="327"/>
      <c r="Q120" s="327"/>
      <c r="R120" s="82"/>
      <c r="S120" s="327"/>
      <c r="T120" s="329"/>
      <c r="U120" s="332"/>
      <c r="V120" s="82"/>
      <c r="W120" s="329"/>
      <c r="X120" s="333"/>
      <c r="Y120" s="333"/>
      <c r="Z120" s="333"/>
      <c r="AA120" s="82"/>
      <c r="AB120" s="82"/>
      <c r="AC120" s="82"/>
      <c r="AD120" s="82"/>
    </row>
    <row r="121" spans="3:30" ht="12.75" customHeight="1" x14ac:dyDescent="0.3">
      <c r="D121" s="343">
        <v>64</v>
      </c>
      <c r="E121" s="343">
        <f t="shared" si="5"/>
        <v>38.373822663338572</v>
      </c>
      <c r="M121" s="327"/>
      <c r="N121" s="327"/>
      <c r="O121" s="327"/>
      <c r="P121" s="327"/>
      <c r="Q121" s="327"/>
      <c r="R121" s="82"/>
      <c r="S121" s="327"/>
      <c r="T121" s="329"/>
      <c r="U121" s="332"/>
      <c r="V121" s="82"/>
      <c r="W121" s="329"/>
      <c r="X121" s="333"/>
      <c r="Y121" s="333"/>
      <c r="Z121" s="333"/>
      <c r="AA121" s="82"/>
      <c r="AB121" s="82"/>
      <c r="AC121" s="82"/>
      <c r="AD121" s="82"/>
    </row>
    <row r="122" spans="3:30" ht="13" x14ac:dyDescent="0.3">
      <c r="D122" s="343">
        <v>90.5</v>
      </c>
      <c r="E122" s="343">
        <f t="shared" si="5"/>
        <v>45.631985604716732</v>
      </c>
      <c r="M122" s="327"/>
      <c r="N122" s="327"/>
      <c r="O122" s="327"/>
      <c r="P122" s="327"/>
      <c r="Q122" s="327"/>
      <c r="R122" s="82"/>
      <c r="S122" s="327"/>
      <c r="T122" s="329"/>
      <c r="U122" s="332"/>
      <c r="V122" s="82"/>
      <c r="W122" s="329"/>
      <c r="X122" s="333"/>
      <c r="Y122" s="333"/>
      <c r="Z122" s="333"/>
      <c r="AA122" s="82"/>
      <c r="AB122" s="82"/>
      <c r="AC122" s="82"/>
      <c r="AD122" s="82"/>
    </row>
    <row r="123" spans="3:30" ht="13" x14ac:dyDescent="0.3">
      <c r="D123" s="343">
        <v>128</v>
      </c>
      <c r="E123" s="343">
        <f t="shared" si="5"/>
        <v>54.268780450593447</v>
      </c>
      <c r="M123" s="327"/>
      <c r="N123" s="327"/>
      <c r="O123" s="327"/>
      <c r="P123" s="327"/>
      <c r="Q123" s="327"/>
      <c r="R123" s="82"/>
      <c r="S123" s="327"/>
      <c r="T123" s="329"/>
      <c r="U123" s="332"/>
      <c r="V123" s="82"/>
      <c r="W123" s="329"/>
      <c r="X123" s="333"/>
      <c r="Y123" s="333"/>
      <c r="Z123" s="333"/>
      <c r="AA123" s="82"/>
      <c r="AB123" s="82"/>
      <c r="AC123" s="82"/>
      <c r="AD123" s="82"/>
    </row>
    <row r="124" spans="3:30" ht="13" x14ac:dyDescent="0.3">
      <c r="D124" s="343">
        <v>181</v>
      </c>
      <c r="E124" s="343">
        <f t="shared" si="5"/>
        <v>64.533372920204243</v>
      </c>
      <c r="F124" s="327"/>
      <c r="G124" s="327"/>
      <c r="H124" s="327"/>
      <c r="I124" s="327"/>
      <c r="J124" s="327"/>
      <c r="M124" s="327"/>
      <c r="N124" s="327"/>
      <c r="O124" s="327"/>
      <c r="P124" s="327"/>
      <c r="Q124" s="327"/>
      <c r="R124" s="82"/>
      <c r="S124" s="327"/>
      <c r="T124" s="329"/>
      <c r="U124" s="332"/>
      <c r="V124" s="82"/>
      <c r="W124" s="329"/>
      <c r="X124" s="333"/>
      <c r="Y124" s="333"/>
      <c r="Z124" s="333"/>
      <c r="AA124" s="82"/>
      <c r="AB124" s="82"/>
      <c r="AC124" s="82"/>
      <c r="AD124" s="82"/>
    </row>
    <row r="125" spans="3:30" ht="13.5" thickBot="1" x14ac:dyDescent="0.35">
      <c r="D125" s="344">
        <v>256</v>
      </c>
      <c r="E125" s="344">
        <f t="shared" si="5"/>
        <v>76.747645326677144</v>
      </c>
      <c r="F125" s="327"/>
      <c r="G125" s="327"/>
      <c r="H125" s="327"/>
      <c r="I125" s="327"/>
      <c r="J125" s="327"/>
      <c r="M125" s="327"/>
      <c r="N125" s="327"/>
      <c r="O125" s="327"/>
      <c r="P125" s="327"/>
      <c r="Q125" s="327"/>
      <c r="R125" s="82"/>
      <c r="S125" s="327"/>
      <c r="T125" s="329"/>
      <c r="U125" s="332"/>
      <c r="V125" s="82"/>
      <c r="W125" s="329"/>
      <c r="X125" s="333"/>
      <c r="Y125" s="333"/>
      <c r="Z125" s="333"/>
      <c r="AA125" s="82"/>
      <c r="AB125" s="82"/>
      <c r="AC125" s="82"/>
      <c r="AD125" s="82"/>
    </row>
    <row r="126" spans="3:30" ht="13" x14ac:dyDescent="0.3">
      <c r="C126" s="327"/>
      <c r="D126" s="327"/>
      <c r="E126" s="327"/>
      <c r="F126" s="327"/>
      <c r="G126" s="327"/>
      <c r="H126" s="327"/>
      <c r="I126" s="327"/>
      <c r="J126" s="327"/>
      <c r="K126" s="327"/>
      <c r="L126" s="327"/>
      <c r="M126" s="327"/>
      <c r="N126" s="327"/>
      <c r="O126" s="327"/>
      <c r="P126" s="327"/>
      <c r="Q126" s="327"/>
      <c r="R126" s="82"/>
      <c r="S126" s="327"/>
      <c r="T126" s="329"/>
      <c r="U126" s="332"/>
      <c r="V126" s="82"/>
      <c r="W126" s="329"/>
      <c r="X126" s="333"/>
      <c r="Y126" s="333"/>
      <c r="Z126" s="333"/>
      <c r="AA126" s="82"/>
      <c r="AB126" s="82"/>
      <c r="AC126" s="82"/>
      <c r="AD126" s="82"/>
    </row>
    <row r="127" spans="3:30" ht="13.5" thickBot="1" x14ac:dyDescent="0.35">
      <c r="J127" s="281"/>
      <c r="K127" s="283"/>
      <c r="L127" s="2"/>
      <c r="M127" s="2"/>
      <c r="N127" s="2"/>
      <c r="O127" s="2"/>
      <c r="Q127" s="327"/>
      <c r="R127" s="82"/>
      <c r="S127" s="327"/>
      <c r="T127" s="82"/>
      <c r="U127" s="82"/>
      <c r="V127" s="82"/>
      <c r="W127" s="82"/>
      <c r="X127" s="335"/>
      <c r="Y127" s="335"/>
      <c r="Z127" s="341"/>
      <c r="AA127" s="82"/>
      <c r="AB127" s="82"/>
      <c r="AC127" s="82"/>
      <c r="AD127" s="82"/>
    </row>
    <row r="128" spans="3:30" ht="13.5" thickBot="1" x14ac:dyDescent="0.35">
      <c r="C128" s="17" t="s">
        <v>179</v>
      </c>
      <c r="D128" s="195"/>
      <c r="E128" s="21"/>
      <c r="F128" s="22"/>
      <c r="G128" s="21"/>
      <c r="H128" s="23"/>
      <c r="I128" s="194" t="s">
        <v>180</v>
      </c>
      <c r="J128" s="280">
        <f>J91</f>
        <v>23.008610116314944</v>
      </c>
      <c r="K128" s="54"/>
      <c r="L128" s="54"/>
      <c r="M128" s="54"/>
      <c r="N128" s="54"/>
      <c r="Q128" s="327"/>
      <c r="R128" s="327"/>
      <c r="S128" s="327"/>
      <c r="T128" s="335"/>
      <c r="U128" s="327"/>
      <c r="V128" s="327"/>
      <c r="W128" s="335"/>
      <c r="X128" s="339"/>
      <c r="Y128" s="340"/>
      <c r="Z128" s="330"/>
      <c r="AA128" s="82"/>
      <c r="AB128" s="82"/>
      <c r="AC128" s="82"/>
      <c r="AD128" s="82"/>
    </row>
    <row r="129" spans="2:30" ht="13.5" thickBot="1" x14ac:dyDescent="0.35">
      <c r="C129" s="201" t="s">
        <v>190</v>
      </c>
      <c r="D129" s="197"/>
      <c r="E129" s="197"/>
      <c r="F129" s="197"/>
      <c r="G129" s="197"/>
      <c r="H129" s="197"/>
      <c r="I129" s="197"/>
      <c r="J129" s="256"/>
      <c r="K129" s="262"/>
      <c r="L129" s="262"/>
      <c r="M129" s="262"/>
      <c r="N129" s="262"/>
      <c r="Q129" s="327"/>
      <c r="R129" s="327"/>
      <c r="S129" s="327"/>
      <c r="T129" s="335"/>
      <c r="U129" s="327"/>
      <c r="V129" s="327"/>
      <c r="W129" s="335"/>
      <c r="X129" s="339"/>
      <c r="Y129" s="340"/>
      <c r="Z129" s="328"/>
      <c r="AA129" s="82"/>
      <c r="AB129" s="82"/>
      <c r="AC129" s="82"/>
      <c r="AD129" s="82"/>
    </row>
    <row r="130" spans="2:30" ht="13.5" thickBot="1" x14ac:dyDescent="0.35">
      <c r="C130" s="251" t="s">
        <v>193</v>
      </c>
      <c r="D130" s="252"/>
      <c r="E130" s="252"/>
      <c r="F130" s="252"/>
      <c r="G130" s="253"/>
      <c r="H130" s="252"/>
      <c r="I130" s="252"/>
      <c r="J130" s="254"/>
      <c r="K130" s="54"/>
      <c r="Q130" s="327"/>
      <c r="R130" s="327"/>
      <c r="S130" s="327"/>
      <c r="T130" s="335"/>
      <c r="U130" s="327"/>
      <c r="V130" s="327"/>
      <c r="W130" s="335"/>
      <c r="X130" s="339"/>
      <c r="Y130" s="340"/>
      <c r="Z130" s="328"/>
      <c r="AA130" s="82"/>
      <c r="AB130" s="82"/>
      <c r="AC130" s="82"/>
      <c r="AD130" s="82"/>
    </row>
    <row r="131" spans="2:30" ht="13.5" thickBot="1" x14ac:dyDescent="0.35">
      <c r="C131" s="41" t="s">
        <v>187</v>
      </c>
      <c r="D131" s="42"/>
      <c r="E131" s="43"/>
      <c r="F131" s="135">
        <f>$J$45</f>
        <v>7.625</v>
      </c>
      <c r="G131" s="255"/>
      <c r="H131" s="255"/>
      <c r="I131" s="58" t="s">
        <v>192</v>
      </c>
      <c r="J131" s="303">
        <f>1482 / $F$131 / $J$60</f>
        <v>46.207252037467867</v>
      </c>
      <c r="K131" s="298" t="str">
        <f>IF(ROUND($J$131,1)&lt;ROUND($J$91,1), " DECREASE the Desired Print Resolution!  (Diffraction will prevent your Desired", " Good:  Your Desired Print Resolution will NOT be prohibited by" )</f>
        <v xml:space="preserve"> Good:  Your Desired Print Resolution will NOT be prohibited by</v>
      </c>
      <c r="L131" s="285"/>
      <c r="M131" s="285"/>
      <c r="N131" s="285"/>
      <c r="O131" s="286"/>
      <c r="Q131" s="82"/>
      <c r="R131" s="82"/>
      <c r="S131" s="82"/>
      <c r="T131" s="82"/>
      <c r="U131" s="82"/>
      <c r="V131" s="82"/>
      <c r="W131" s="82"/>
      <c r="X131" s="82"/>
      <c r="Y131" s="82"/>
      <c r="Z131" s="82"/>
      <c r="AA131" s="82"/>
      <c r="AB131" s="82"/>
      <c r="AC131" s="82"/>
      <c r="AD131" s="82"/>
    </row>
    <row r="132" spans="2:30" ht="13.5" thickBot="1" x14ac:dyDescent="0.35">
      <c r="C132" s="41" t="s">
        <v>186</v>
      </c>
      <c r="D132" s="42"/>
      <c r="E132" s="43"/>
      <c r="F132" s="261">
        <f>$J$91</f>
        <v>23.008610116314944</v>
      </c>
      <c r="G132" s="58"/>
      <c r="H132" s="246"/>
      <c r="I132" s="58" t="s">
        <v>191</v>
      </c>
      <c r="J132" s="304">
        <f>1482 / $J$91 / $J$60</f>
        <v>15.312976099145692</v>
      </c>
      <c r="K132" s="299" t="str">
        <f>IF(ROUND($J$131,1)&lt;ROUND($J$91,1), " Print Resolution at the f-Stop at which CoC's and Airy Disks are the same size)", " Diffraction at the f-Stop at which Airy Disk size = Max. CoC size." )</f>
        <v xml:space="preserve"> Diffraction at the f-Stop at which Airy Disk size = Max. CoC size.</v>
      </c>
      <c r="L132" s="288"/>
      <c r="M132" s="288"/>
      <c r="N132" s="288"/>
      <c r="O132" s="289"/>
    </row>
    <row r="133" spans="2:30" x14ac:dyDescent="0.25">
      <c r="C133" t="s">
        <v>87</v>
      </c>
    </row>
    <row r="134" spans="2:30" ht="13" thickBot="1" x14ac:dyDescent="0.3"/>
    <row r="135" spans="2:30" ht="13.5" thickBot="1" x14ac:dyDescent="0.35">
      <c r="C135" s="17" t="s">
        <v>88</v>
      </c>
      <c r="D135" s="20" t="s">
        <v>89</v>
      </c>
      <c r="E135" s="21"/>
      <c r="F135" s="22"/>
      <c r="G135" s="23"/>
      <c r="H135" s="23"/>
      <c r="I135" s="22"/>
    </row>
    <row r="136" spans="2:30" ht="13" thickBot="1" x14ac:dyDescent="0.3"/>
    <row r="137" spans="2:30" ht="13.5" thickBot="1" x14ac:dyDescent="0.35">
      <c r="C137" s="73" t="s">
        <v>90</v>
      </c>
      <c r="D137" s="74"/>
      <c r="E137" s="71"/>
      <c r="F137" s="71"/>
      <c r="G137" s="70"/>
      <c r="H137" s="71"/>
      <c r="I137" s="72"/>
      <c r="K137" s="144" t="s">
        <v>149</v>
      </c>
      <c r="L137" s="88"/>
      <c r="M137" s="88"/>
      <c r="N137" s="89"/>
      <c r="O137" s="145"/>
      <c r="P137" s="145"/>
      <c r="Q137" s="62" t="s">
        <v>94</v>
      </c>
      <c r="R137" s="20" t="s">
        <v>150</v>
      </c>
      <c r="S137" s="20"/>
      <c r="T137" s="21"/>
      <c r="U137" s="22"/>
      <c r="V137" s="22"/>
      <c r="W137" s="23"/>
    </row>
    <row r="138" spans="2:30" ht="13.5" thickBot="1" x14ac:dyDescent="0.35">
      <c r="C138" s="33" t="s">
        <v>91</v>
      </c>
      <c r="D138" s="34"/>
      <c r="E138" s="56" t="s">
        <v>92</v>
      </c>
      <c r="F138" s="134">
        <f>J10</f>
        <v>43</v>
      </c>
      <c r="G138" s="76"/>
      <c r="H138" s="77" t="s">
        <v>93</v>
      </c>
      <c r="I138" s="268">
        <f>J16</f>
        <v>70.709999999999994</v>
      </c>
      <c r="K138" s="117" t="s">
        <v>151</v>
      </c>
      <c r="L138" s="118"/>
      <c r="M138" s="118"/>
      <c r="N138" s="118"/>
      <c r="O138" s="118"/>
      <c r="P138" s="119"/>
      <c r="R138" s="117" t="s">
        <v>151</v>
      </c>
      <c r="S138" s="118"/>
      <c r="T138" s="118"/>
      <c r="U138" s="118"/>
      <c r="V138" s="118"/>
      <c r="W138" s="119"/>
    </row>
    <row r="139" spans="2:30" ht="13.5" thickBot="1" x14ac:dyDescent="0.35">
      <c r="C139" s="33"/>
      <c r="D139" s="34"/>
      <c r="E139" s="56" t="s">
        <v>95</v>
      </c>
      <c r="F139" s="271">
        <f>J73</f>
        <v>227</v>
      </c>
      <c r="G139" s="35"/>
      <c r="H139" s="56" t="s">
        <v>96</v>
      </c>
      <c r="I139" s="269">
        <f>J74</f>
        <v>3.1149779735682819E-2</v>
      </c>
      <c r="K139" s="146" t="s">
        <v>97</v>
      </c>
      <c r="L139" s="147"/>
      <c r="M139" s="147"/>
      <c r="N139" s="147"/>
      <c r="O139" s="148"/>
      <c r="P139" s="149">
        <v>10</v>
      </c>
      <c r="R139" s="17" t="s">
        <v>97</v>
      </c>
      <c r="S139" s="18"/>
      <c r="T139" s="18"/>
      <c r="U139" s="18"/>
      <c r="V139" s="18"/>
      <c r="W139" s="63">
        <v>10</v>
      </c>
    </row>
    <row r="140" spans="2:30" ht="13.5" thickBot="1" x14ac:dyDescent="0.35">
      <c r="C140" s="75"/>
      <c r="D140" s="78"/>
      <c r="E140" s="78" t="s">
        <v>156</v>
      </c>
      <c r="F140" s="272">
        <f>J76</f>
        <v>7.63</v>
      </c>
      <c r="G140" s="133" t="s">
        <v>98</v>
      </c>
      <c r="H140" s="135">
        <f>I59</f>
        <v>8.2799999999999994</v>
      </c>
      <c r="I140" s="134">
        <f>J59</f>
        <v>8.2799999999999994</v>
      </c>
      <c r="K140" s="32" t="s">
        <v>99</v>
      </c>
      <c r="L140" s="32" t="s">
        <v>100</v>
      </c>
      <c r="M140" s="32" t="s">
        <v>101</v>
      </c>
      <c r="N140" s="32" t="s">
        <v>101</v>
      </c>
      <c r="O140" s="32" t="s">
        <v>102</v>
      </c>
      <c r="R140" s="32" t="s">
        <v>103</v>
      </c>
      <c r="S140" s="32" t="s">
        <v>101</v>
      </c>
      <c r="T140" s="32" t="s">
        <v>101</v>
      </c>
      <c r="U140" s="32" t="s">
        <v>102</v>
      </c>
    </row>
    <row r="141" spans="2:30" ht="13.5" thickBot="1" x14ac:dyDescent="0.35">
      <c r="C141" s="75"/>
      <c r="D141" s="78"/>
      <c r="E141" s="136" t="s">
        <v>157</v>
      </c>
      <c r="F141" s="272">
        <f>J61</f>
        <v>7.85</v>
      </c>
      <c r="G141" s="132"/>
      <c r="H141" s="122" t="s">
        <v>104</v>
      </c>
      <c r="I141" s="270">
        <f>J84</f>
        <v>6.46</v>
      </c>
      <c r="K141" s="37" t="s">
        <v>105</v>
      </c>
      <c r="L141" s="37" t="s">
        <v>106</v>
      </c>
      <c r="M141" s="37" t="s">
        <v>107</v>
      </c>
      <c r="N141" s="37" t="s">
        <v>108</v>
      </c>
      <c r="O141" s="37" t="s">
        <v>109</v>
      </c>
      <c r="R141" s="37" t="s">
        <v>110</v>
      </c>
      <c r="S141" s="37" t="s">
        <v>107</v>
      </c>
      <c r="T141" s="37" t="s">
        <v>108</v>
      </c>
      <c r="U141" s="37" t="s">
        <v>111</v>
      </c>
    </row>
    <row r="142" spans="2:30" ht="13.5" thickBot="1" x14ac:dyDescent="0.35">
      <c r="B142" s="388" t="s">
        <v>229</v>
      </c>
      <c r="C142" s="127"/>
      <c r="D142" s="127"/>
      <c r="E142" s="128"/>
      <c r="F142" s="128"/>
      <c r="G142" s="129"/>
      <c r="H142" s="130" t="s">
        <v>188</v>
      </c>
      <c r="I142" s="131">
        <f>J91</f>
        <v>23.008610116314944</v>
      </c>
      <c r="K142" s="37" t="s">
        <v>112</v>
      </c>
      <c r="L142" s="37" t="s">
        <v>113</v>
      </c>
      <c r="M142" s="37" t="s">
        <v>114</v>
      </c>
      <c r="N142" s="37" t="s">
        <v>114</v>
      </c>
      <c r="O142" s="37" t="s">
        <v>115</v>
      </c>
      <c r="R142" s="37" t="s">
        <v>116</v>
      </c>
      <c r="S142" s="37" t="s">
        <v>114</v>
      </c>
      <c r="T142" s="37" t="s">
        <v>117</v>
      </c>
      <c r="U142" s="37" t="s">
        <v>115</v>
      </c>
    </row>
    <row r="143" spans="2:30" ht="13" x14ac:dyDescent="0.3">
      <c r="B143" s="389" t="s">
        <v>230</v>
      </c>
      <c r="C143" s="345" t="s">
        <v>209</v>
      </c>
      <c r="D143" s="32" t="s">
        <v>118</v>
      </c>
      <c r="E143" s="32" t="s">
        <v>119</v>
      </c>
      <c r="F143" s="36" t="s">
        <v>120</v>
      </c>
      <c r="G143" s="32" t="s">
        <v>118</v>
      </c>
      <c r="H143" s="32" t="s">
        <v>119</v>
      </c>
      <c r="I143" s="32" t="s">
        <v>120</v>
      </c>
      <c r="K143" s="37" t="s">
        <v>121</v>
      </c>
      <c r="L143" s="37" t="s">
        <v>122</v>
      </c>
      <c r="M143" s="37" t="s">
        <v>123</v>
      </c>
      <c r="N143" s="37" t="s">
        <v>124</v>
      </c>
      <c r="O143" s="37" t="s">
        <v>20</v>
      </c>
      <c r="R143" s="37" t="s">
        <v>125</v>
      </c>
      <c r="S143" s="37" t="s">
        <v>123</v>
      </c>
      <c r="T143" s="37" t="s">
        <v>124</v>
      </c>
      <c r="U143" s="37" t="s">
        <v>20</v>
      </c>
    </row>
    <row r="144" spans="2:30" ht="15" x14ac:dyDescent="0.4">
      <c r="B144" s="389" t="s">
        <v>207</v>
      </c>
      <c r="C144" s="346" t="s">
        <v>217</v>
      </c>
      <c r="D144" s="37" t="s">
        <v>127</v>
      </c>
      <c r="E144" s="37" t="s">
        <v>106</v>
      </c>
      <c r="F144" s="38" t="s">
        <v>127</v>
      </c>
      <c r="G144" s="37" t="s">
        <v>127</v>
      </c>
      <c r="H144" s="37" t="s">
        <v>106</v>
      </c>
      <c r="I144" s="37" t="s">
        <v>127</v>
      </c>
      <c r="K144" s="37" t="s">
        <v>128</v>
      </c>
      <c r="L144" s="37" t="s">
        <v>129</v>
      </c>
      <c r="M144" s="37" t="s">
        <v>130</v>
      </c>
      <c r="N144" s="37" t="s">
        <v>131</v>
      </c>
      <c r="O144" s="37" t="s">
        <v>17</v>
      </c>
      <c r="R144" s="37" t="s">
        <v>132</v>
      </c>
      <c r="S144" s="37" t="s">
        <v>130</v>
      </c>
      <c r="T144" s="37" t="s">
        <v>131</v>
      </c>
      <c r="U144" s="37" t="s">
        <v>17</v>
      </c>
    </row>
    <row r="145" spans="2:22" ht="13.5" thickBot="1" x14ac:dyDescent="0.35">
      <c r="B145" s="390" t="s">
        <v>212</v>
      </c>
      <c r="C145" s="347" t="s">
        <v>126</v>
      </c>
      <c r="D145" s="39" t="s">
        <v>133</v>
      </c>
      <c r="E145" s="39" t="s">
        <v>133</v>
      </c>
      <c r="F145" s="40" t="s">
        <v>133</v>
      </c>
      <c r="G145" s="39" t="s">
        <v>134</v>
      </c>
      <c r="H145" s="39" t="s">
        <v>134</v>
      </c>
      <c r="I145" s="39" t="s">
        <v>134</v>
      </c>
      <c r="K145" s="39" t="s">
        <v>135</v>
      </c>
      <c r="L145" s="39" t="s">
        <v>136</v>
      </c>
      <c r="M145" s="39" t="s">
        <v>137</v>
      </c>
      <c r="N145" s="39" t="s">
        <v>137</v>
      </c>
      <c r="O145" s="39" t="s">
        <v>138</v>
      </c>
      <c r="R145" s="39" t="s">
        <v>135</v>
      </c>
      <c r="S145" s="39" t="s">
        <v>137</v>
      </c>
      <c r="T145" s="39" t="s">
        <v>137</v>
      </c>
      <c r="U145" s="39" t="s">
        <v>138</v>
      </c>
    </row>
    <row r="146" spans="2:22" ht="13" x14ac:dyDescent="0.3">
      <c r="B146" s="391">
        <f>SQRT($J$74*738.644*C146)</f>
        <v>4.7967278329173215</v>
      </c>
      <c r="C146" s="353">
        <v>1</v>
      </c>
      <c r="D146" s="151">
        <f t="shared" ref="D146:D188" si="6">E146/2</f>
        <v>29.679182576721825</v>
      </c>
      <c r="E146" s="151">
        <f t="shared" ref="E146:E188" si="7">POWER($J$10,2)/(C146*($J$16/($J$73*10)))/1000</f>
        <v>59.35836515344365</v>
      </c>
      <c r="F146" s="152" t="s">
        <v>139</v>
      </c>
      <c r="G146" s="151">
        <f t="shared" ref="G146:G188" si="8">D146*1000/25.4/12</f>
        <v>97.372646249087367</v>
      </c>
      <c r="H146" s="151">
        <f t="shared" ref="H146:H188" si="9">E146*1000/25.4/12</f>
        <v>194.74529249817473</v>
      </c>
      <c r="I146" s="153" t="s">
        <v>139</v>
      </c>
      <c r="J146" s="60" t="s">
        <v>140</v>
      </c>
      <c r="K146" s="154">
        <f t="shared" ref="K146:K188" si="10">G146-$P$139</f>
        <v>87.372646249087367</v>
      </c>
      <c r="L146" s="155">
        <f t="shared" ref="L146:L188" si="11">$P$139+K146</f>
        <v>97.372646249087367</v>
      </c>
      <c r="M146" s="155">
        <f t="shared" ref="M146:M188" si="12">(G146/$P$139)^2</f>
        <v>94.814322375499074</v>
      </c>
      <c r="N146" s="155">
        <f t="shared" ref="N146:N188" si="13">G146/$P$139</f>
        <v>9.737264624908736</v>
      </c>
      <c r="O146" s="156">
        <f t="shared" ref="O146:O188" si="14">100/(L146/$P$139)</f>
        <v>10.269824622429553</v>
      </c>
      <c r="Q146" s="60" t="s">
        <v>140</v>
      </c>
      <c r="R146" s="164">
        <f t="shared" ref="R146:R188" si="15">$J$10/(G146/$W$139)</f>
        <v>4.4160245876447073</v>
      </c>
      <c r="S146" s="155">
        <f t="shared" ref="S146:S188" si="16">(G146/$W$139)^2</f>
        <v>94.814322375499074</v>
      </c>
      <c r="T146" s="155">
        <f t="shared" ref="T146:T188" si="17">G146/$W$139</f>
        <v>9.737264624908736</v>
      </c>
      <c r="U146" s="156">
        <f t="shared" ref="U146:U188" si="18">100/T146</f>
        <v>10.269824622429553</v>
      </c>
      <c r="V146" s="65"/>
    </row>
    <row r="147" spans="2:22" s="173" customFormat="1" x14ac:dyDescent="0.25">
      <c r="B147" s="357">
        <f>SQRT($J$74*738.644*C147)</f>
        <v>5.030850593427723</v>
      </c>
      <c r="C147" s="354">
        <v>1.1000000000000001</v>
      </c>
      <c r="D147" s="167">
        <f t="shared" si="6"/>
        <v>26.98107506974711</v>
      </c>
      <c r="E147" s="167">
        <f t="shared" si="7"/>
        <v>53.96215013949422</v>
      </c>
      <c r="F147" s="168" t="s">
        <v>139</v>
      </c>
      <c r="G147" s="167">
        <f t="shared" si="8"/>
        <v>88.520587499170304</v>
      </c>
      <c r="H147" s="167">
        <f t="shared" si="9"/>
        <v>177.04117499834061</v>
      </c>
      <c r="I147" s="169" t="s">
        <v>139</v>
      </c>
      <c r="J147" s="170" t="s">
        <v>140</v>
      </c>
      <c r="K147" s="171">
        <f t="shared" si="10"/>
        <v>78.520587499170304</v>
      </c>
      <c r="L147" s="167">
        <f t="shared" si="11"/>
        <v>88.520587499170304</v>
      </c>
      <c r="M147" s="167">
        <f t="shared" si="12"/>
        <v>78.358944111982666</v>
      </c>
      <c r="N147" s="167">
        <f t="shared" si="13"/>
        <v>8.8520587499170311</v>
      </c>
      <c r="O147" s="172">
        <f t="shared" si="14"/>
        <v>11.29680708467251</v>
      </c>
      <c r="Q147" s="170" t="s">
        <v>140</v>
      </c>
      <c r="R147" s="174">
        <f t="shared" si="15"/>
        <v>4.8576270464091795</v>
      </c>
      <c r="S147" s="167">
        <f t="shared" si="16"/>
        <v>78.358944111982666</v>
      </c>
      <c r="T147" s="167">
        <f t="shared" si="17"/>
        <v>8.8520587499170311</v>
      </c>
      <c r="U147" s="172">
        <f t="shared" si="18"/>
        <v>11.29680708467251</v>
      </c>
      <c r="V147" s="175"/>
    </row>
    <row r="148" spans="2:22" s="173" customFormat="1" x14ac:dyDescent="0.25">
      <c r="B148" s="357">
        <f t="shared" ref="B148:B188" si="19">SQRT($J$74*738.644*C148)</f>
        <v>5.4691111959813732</v>
      </c>
      <c r="C148" s="354">
        <v>1.3</v>
      </c>
      <c r="D148" s="167">
        <f>E148/2</f>
        <v>22.830140443632171</v>
      </c>
      <c r="E148" s="167">
        <f>POWER($J$10,2)/(C148*($J$16/($J$73*10)))/1000</f>
        <v>45.660280887264342</v>
      </c>
      <c r="F148" s="168" t="s">
        <v>139</v>
      </c>
      <c r="G148" s="167">
        <f>D148*1000/25.4/12</f>
        <v>74.902035576221039</v>
      </c>
      <c r="H148" s="167">
        <f>E148*1000/25.4/12</f>
        <v>149.80407115244208</v>
      </c>
      <c r="I148" s="169" t="s">
        <v>139</v>
      </c>
      <c r="J148" s="170" t="s">
        <v>140</v>
      </c>
      <c r="K148" s="171">
        <f>G148-$P$139</f>
        <v>64.902035576221039</v>
      </c>
      <c r="L148" s="167">
        <f t="shared" si="11"/>
        <v>74.902035576221039</v>
      </c>
      <c r="M148" s="167">
        <f>(G148/$P$139)^2</f>
        <v>56.103149334614827</v>
      </c>
      <c r="N148" s="167">
        <f>G148/$P$139</f>
        <v>7.4902035576221042</v>
      </c>
      <c r="O148" s="172">
        <f>100/(L148/$P$139)</f>
        <v>13.350772009158419</v>
      </c>
      <c r="Q148" s="170" t="s">
        <v>140</v>
      </c>
      <c r="R148" s="174">
        <f t="shared" si="15"/>
        <v>5.7408319639381205</v>
      </c>
      <c r="S148" s="167">
        <f>(G148/$W$139)^2</f>
        <v>56.103149334614827</v>
      </c>
      <c r="T148" s="167">
        <f>G148/$W$139</f>
        <v>7.4902035576221042</v>
      </c>
      <c r="U148" s="172">
        <f t="shared" si="18"/>
        <v>13.350772009158419</v>
      </c>
      <c r="V148" s="175"/>
    </row>
    <row r="149" spans="2:22" ht="13" x14ac:dyDescent="0.3">
      <c r="B149" s="358">
        <f t="shared" si="19"/>
        <v>5.7043028676368621</v>
      </c>
      <c r="C149" s="353">
        <f>SQRT(2)</f>
        <v>1.4142135623730951</v>
      </c>
      <c r="D149" s="151">
        <f t="shared" si="6"/>
        <v>20.986351260073633</v>
      </c>
      <c r="E149" s="151">
        <f t="shared" si="7"/>
        <v>41.972702520147266</v>
      </c>
      <c r="F149" s="152" t="s">
        <v>139</v>
      </c>
      <c r="G149" s="151">
        <f t="shared" si="8"/>
        <v>68.852858464808506</v>
      </c>
      <c r="H149" s="151">
        <f t="shared" si="9"/>
        <v>137.70571692961701</v>
      </c>
      <c r="I149" s="153" t="s">
        <v>139</v>
      </c>
      <c r="J149" s="60" t="s">
        <v>140</v>
      </c>
      <c r="K149" s="157">
        <f t="shared" si="10"/>
        <v>58.852858464808506</v>
      </c>
      <c r="L149" s="151">
        <f t="shared" si="11"/>
        <v>68.852858464808506</v>
      </c>
      <c r="M149" s="151">
        <f t="shared" si="12"/>
        <v>47.407161187749523</v>
      </c>
      <c r="N149" s="151">
        <f t="shared" si="13"/>
        <v>6.8852858464808504</v>
      </c>
      <c r="O149" s="158">
        <f t="shared" si="14"/>
        <v>14.523725264233025</v>
      </c>
      <c r="Q149" s="60" t="s">
        <v>140</v>
      </c>
      <c r="R149" s="165">
        <f t="shared" si="15"/>
        <v>6.2452018636202009</v>
      </c>
      <c r="S149" s="151">
        <f t="shared" si="16"/>
        <v>47.407161187749523</v>
      </c>
      <c r="T149" s="151">
        <f t="shared" si="17"/>
        <v>6.8852858464808504</v>
      </c>
      <c r="U149" s="158">
        <f t="shared" si="18"/>
        <v>14.523725264233025</v>
      </c>
      <c r="V149" s="65"/>
    </row>
    <row r="150" spans="2:22" s="173" customFormat="1" x14ac:dyDescent="0.25">
      <c r="B150" s="357">
        <f t="shared" si="19"/>
        <v>6.0674341071769309</v>
      </c>
      <c r="C150" s="354">
        <v>1.6</v>
      </c>
      <c r="D150" s="167">
        <f>E150/2</f>
        <v>18.549489110451141</v>
      </c>
      <c r="E150" s="167">
        <f>POWER($J$10,2)/(C150*($J$16/($J$73*10)))/1000</f>
        <v>37.098978220902282</v>
      </c>
      <c r="F150" s="168" t="s">
        <v>139</v>
      </c>
      <c r="G150" s="167">
        <f>D150*1000/25.4/12</f>
        <v>60.857903905679599</v>
      </c>
      <c r="H150" s="167">
        <f>E150*1000/25.4/12</f>
        <v>121.7158078113592</v>
      </c>
      <c r="I150" s="169" t="s">
        <v>139</v>
      </c>
      <c r="J150" s="170" t="s">
        <v>140</v>
      </c>
      <c r="K150" s="171">
        <f>G150-$P$139</f>
        <v>50.857903905679599</v>
      </c>
      <c r="L150" s="167">
        <f t="shared" si="11"/>
        <v>60.857903905679599</v>
      </c>
      <c r="M150" s="167">
        <f>(G150/$P$139)^2</f>
        <v>37.036844677929317</v>
      </c>
      <c r="N150" s="167">
        <f>G150/$P$139</f>
        <v>6.0857903905679596</v>
      </c>
      <c r="O150" s="172">
        <f>100/(L150/$P$139)</f>
        <v>16.431719395887285</v>
      </c>
      <c r="Q150" s="170" t="s">
        <v>140</v>
      </c>
      <c r="R150" s="174">
        <f t="shared" si="15"/>
        <v>7.0656393402315327</v>
      </c>
      <c r="S150" s="167">
        <f>(G150/$W$139)^2</f>
        <v>37.036844677929317</v>
      </c>
      <c r="T150" s="167">
        <f>G150/$W$139</f>
        <v>6.0857903905679596</v>
      </c>
      <c r="U150" s="172">
        <f t="shared" si="18"/>
        <v>16.431719395887285</v>
      </c>
      <c r="V150" s="175"/>
    </row>
    <row r="151" spans="2:22" s="173" customFormat="1" x14ac:dyDescent="0.25">
      <c r="B151" s="357">
        <f t="shared" si="19"/>
        <v>6.4813393904050951</v>
      </c>
      <c r="C151" s="354">
        <f>SQRT(2*(1+(2/3)))</f>
        <v>1.8257418583505536</v>
      </c>
      <c r="D151" s="167">
        <f t="shared" si="6"/>
        <v>16.255957785584844</v>
      </c>
      <c r="E151" s="167">
        <f t="shared" si="7"/>
        <v>32.511915571169688</v>
      </c>
      <c r="F151" s="168" t="s">
        <v>139</v>
      </c>
      <c r="G151" s="167">
        <f t="shared" si="8"/>
        <v>53.33319483459595</v>
      </c>
      <c r="H151" s="167">
        <f t="shared" si="9"/>
        <v>106.6663896691919</v>
      </c>
      <c r="I151" s="169" t="s">
        <v>139</v>
      </c>
      <c r="J151" s="170" t="s">
        <v>140</v>
      </c>
      <c r="K151" s="171">
        <f t="shared" si="10"/>
        <v>43.33319483459595</v>
      </c>
      <c r="L151" s="167">
        <f t="shared" si="11"/>
        <v>53.33319483459595</v>
      </c>
      <c r="M151" s="167">
        <f t="shared" si="12"/>
        <v>28.444296712649724</v>
      </c>
      <c r="N151" s="167">
        <f t="shared" si="13"/>
        <v>5.3333194834595954</v>
      </c>
      <c r="O151" s="172">
        <f t="shared" si="14"/>
        <v>18.750048691088804</v>
      </c>
      <c r="Q151" s="170" t="s">
        <v>140</v>
      </c>
      <c r="R151" s="174">
        <f t="shared" si="15"/>
        <v>8.0625209371681859</v>
      </c>
      <c r="S151" s="167">
        <f t="shared" si="16"/>
        <v>28.444296712649724</v>
      </c>
      <c r="T151" s="167">
        <f t="shared" si="17"/>
        <v>5.3333194834595954</v>
      </c>
      <c r="U151" s="172">
        <f t="shared" si="18"/>
        <v>18.750048691088804</v>
      </c>
      <c r="V151" s="175"/>
    </row>
    <row r="152" spans="2:22" ht="13" x14ac:dyDescent="0.3">
      <c r="B152" s="358">
        <f t="shared" si="19"/>
        <v>6.7835975563241808</v>
      </c>
      <c r="C152" s="353">
        <v>2</v>
      </c>
      <c r="D152" s="151">
        <f t="shared" si="6"/>
        <v>14.839591288360912</v>
      </c>
      <c r="E152" s="151">
        <f t="shared" si="7"/>
        <v>29.679182576721825</v>
      </c>
      <c r="F152" s="152" t="s">
        <v>139</v>
      </c>
      <c r="G152" s="151">
        <f t="shared" si="8"/>
        <v>48.686323124543684</v>
      </c>
      <c r="H152" s="151">
        <f t="shared" si="9"/>
        <v>97.372646249087367</v>
      </c>
      <c r="I152" s="153" t="s">
        <v>139</v>
      </c>
      <c r="J152" s="60" t="s">
        <v>140</v>
      </c>
      <c r="K152" s="157">
        <f t="shared" si="10"/>
        <v>38.686323124543684</v>
      </c>
      <c r="L152" s="151">
        <f t="shared" si="11"/>
        <v>48.686323124543684</v>
      </c>
      <c r="M152" s="151">
        <f t="shared" si="12"/>
        <v>23.703580593874769</v>
      </c>
      <c r="N152" s="151">
        <f t="shared" si="13"/>
        <v>4.868632312454368</v>
      </c>
      <c r="O152" s="158">
        <f t="shared" si="14"/>
        <v>20.539649244859106</v>
      </c>
      <c r="Q152" s="60" t="s">
        <v>140</v>
      </c>
      <c r="R152" s="165">
        <f t="shared" si="15"/>
        <v>8.8320491752894146</v>
      </c>
      <c r="S152" s="151">
        <f t="shared" si="16"/>
        <v>23.703580593874769</v>
      </c>
      <c r="T152" s="151">
        <f t="shared" si="17"/>
        <v>4.868632312454368</v>
      </c>
      <c r="U152" s="158">
        <f t="shared" si="18"/>
        <v>20.539649244859106</v>
      </c>
      <c r="V152" s="65"/>
    </row>
    <row r="153" spans="2:22" s="173" customFormat="1" x14ac:dyDescent="0.25">
      <c r="B153" s="357">
        <f t="shared" si="19"/>
        <v>7.1146971394982197</v>
      </c>
      <c r="C153" s="354">
        <v>2.2000000000000002</v>
      </c>
      <c r="D153" s="167">
        <f>E153/2</f>
        <v>13.490537534873555</v>
      </c>
      <c r="E153" s="167">
        <f>POWER($J$10,2)/(C153*($J$16/($J$73*10)))/1000</f>
        <v>26.98107506974711</v>
      </c>
      <c r="F153" s="168" t="s">
        <v>139</v>
      </c>
      <c r="G153" s="167">
        <f>D153*1000/25.4/12</f>
        <v>44.260293749585152</v>
      </c>
      <c r="H153" s="167">
        <f>E153*1000/25.4/12</f>
        <v>88.520587499170304</v>
      </c>
      <c r="I153" s="169" t="s">
        <v>139</v>
      </c>
      <c r="J153" s="170" t="s">
        <v>140</v>
      </c>
      <c r="K153" s="171">
        <f>G153-$P$139</f>
        <v>34.260293749585152</v>
      </c>
      <c r="L153" s="167">
        <f t="shared" si="11"/>
        <v>44.260293749585152</v>
      </c>
      <c r="M153" s="167">
        <f>(G153/$P$139)^2</f>
        <v>19.589736027995666</v>
      </c>
      <c r="N153" s="167">
        <f>G153/$P$139</f>
        <v>4.4260293749585156</v>
      </c>
      <c r="O153" s="172">
        <f>100/(L153/$P$139)</f>
        <v>22.59361416934502</v>
      </c>
      <c r="Q153" s="170" t="s">
        <v>140</v>
      </c>
      <c r="R153" s="174">
        <f t="shared" si="15"/>
        <v>9.7152540928183591</v>
      </c>
      <c r="S153" s="167">
        <f>(G153/$W$139)^2</f>
        <v>19.589736027995666</v>
      </c>
      <c r="T153" s="167">
        <f>G153/$W$139</f>
        <v>4.4260293749585156</v>
      </c>
      <c r="U153" s="172">
        <f t="shared" si="18"/>
        <v>22.59361416934502</v>
      </c>
      <c r="V153" s="175"/>
    </row>
    <row r="154" spans="2:22" s="173" customFormat="1" x14ac:dyDescent="0.25">
      <c r="B154" s="357">
        <f t="shared" si="19"/>
        <v>7.5842926339711632</v>
      </c>
      <c r="C154" s="354">
        <v>2.5</v>
      </c>
      <c r="D154" s="167">
        <f>E154/2</f>
        <v>11.871673030688731</v>
      </c>
      <c r="E154" s="167">
        <f>POWER($J$10,2)/(C154*($J$16/($J$73*10)))/1000</f>
        <v>23.743346061377462</v>
      </c>
      <c r="F154" s="168" t="s">
        <v>139</v>
      </c>
      <c r="G154" s="167">
        <f>D154*1000/25.4/12</f>
        <v>38.949058499634951</v>
      </c>
      <c r="H154" s="167">
        <f>E154*1000/25.4/12</f>
        <v>77.898116999269902</v>
      </c>
      <c r="I154" s="169" t="s">
        <v>139</v>
      </c>
      <c r="J154" s="170" t="s">
        <v>140</v>
      </c>
      <c r="K154" s="171">
        <f>G154-$P$139</f>
        <v>28.949058499634951</v>
      </c>
      <c r="L154" s="167">
        <f t="shared" si="11"/>
        <v>38.949058499634951</v>
      </c>
      <c r="M154" s="167">
        <f>(G154/$P$139)^2</f>
        <v>15.170291580079857</v>
      </c>
      <c r="N154" s="167">
        <f>G154/$P$139</f>
        <v>3.8949058499634952</v>
      </c>
      <c r="O154" s="172">
        <f>100/(L154/$P$139)</f>
        <v>25.674561556073876</v>
      </c>
      <c r="Q154" s="170" t="s">
        <v>140</v>
      </c>
      <c r="R154" s="174">
        <f t="shared" si="15"/>
        <v>11.040061469111768</v>
      </c>
      <c r="S154" s="167">
        <f>(G154/$W$139)^2</f>
        <v>15.170291580079857</v>
      </c>
      <c r="T154" s="167">
        <f>G154/$W$139</f>
        <v>3.8949058499634952</v>
      </c>
      <c r="U154" s="172">
        <f t="shared" si="18"/>
        <v>25.674561556073876</v>
      </c>
      <c r="V154" s="175"/>
    </row>
    <row r="155" spans="2:22" ht="13" x14ac:dyDescent="0.3">
      <c r="B155" s="358">
        <f t="shared" si="19"/>
        <v>8.0671024792957873</v>
      </c>
      <c r="C155" s="353">
        <f>SQRT(8)</f>
        <v>2.8284271247461903</v>
      </c>
      <c r="D155" s="151">
        <f t="shared" si="6"/>
        <v>10.493175630036816</v>
      </c>
      <c r="E155" s="151">
        <f t="shared" si="7"/>
        <v>20.986351260073633</v>
      </c>
      <c r="F155" s="152" t="s">
        <v>139</v>
      </c>
      <c r="G155" s="151">
        <f t="shared" si="8"/>
        <v>34.426429232404253</v>
      </c>
      <c r="H155" s="151">
        <f t="shared" si="9"/>
        <v>68.852858464808506</v>
      </c>
      <c r="I155" s="153" t="s">
        <v>139</v>
      </c>
      <c r="J155" s="60" t="s">
        <v>140</v>
      </c>
      <c r="K155" s="157">
        <f t="shared" si="10"/>
        <v>24.426429232404253</v>
      </c>
      <c r="L155" s="151">
        <f t="shared" si="11"/>
        <v>34.426429232404253</v>
      </c>
      <c r="M155" s="151">
        <f t="shared" si="12"/>
        <v>11.851790296937381</v>
      </c>
      <c r="N155" s="151">
        <f t="shared" si="13"/>
        <v>3.4426429232404252</v>
      </c>
      <c r="O155" s="158">
        <f t="shared" si="14"/>
        <v>29.047450528466051</v>
      </c>
      <c r="Q155" s="60" t="s">
        <v>140</v>
      </c>
      <c r="R155" s="165">
        <f t="shared" si="15"/>
        <v>12.490403727240402</v>
      </c>
      <c r="S155" s="151">
        <f t="shared" si="16"/>
        <v>11.851790296937381</v>
      </c>
      <c r="T155" s="151">
        <f t="shared" si="17"/>
        <v>3.4426429232404252</v>
      </c>
      <c r="U155" s="158">
        <f t="shared" si="18"/>
        <v>29.047450528466051</v>
      </c>
      <c r="V155" s="65"/>
    </row>
    <row r="156" spans="2:22" s="173" customFormat="1" x14ac:dyDescent="0.25">
      <c r="B156" s="357">
        <f t="shared" si="19"/>
        <v>8.5806476031747074</v>
      </c>
      <c r="C156" s="354">
        <v>3.2</v>
      </c>
      <c r="D156" s="167">
        <f t="shared" si="6"/>
        <v>9.2747445552255705</v>
      </c>
      <c r="E156" s="167">
        <f t="shared" si="7"/>
        <v>18.549489110451141</v>
      </c>
      <c r="F156" s="168" t="s">
        <v>139</v>
      </c>
      <c r="G156" s="167">
        <f t="shared" si="8"/>
        <v>30.4289519528398</v>
      </c>
      <c r="H156" s="167">
        <f t="shared" si="9"/>
        <v>60.857903905679599</v>
      </c>
      <c r="I156" s="169" t="s">
        <v>139</v>
      </c>
      <c r="J156" s="170" t="s">
        <v>140</v>
      </c>
      <c r="K156" s="171">
        <f t="shared" si="10"/>
        <v>20.4289519528398</v>
      </c>
      <c r="L156" s="167">
        <f t="shared" si="11"/>
        <v>30.4289519528398</v>
      </c>
      <c r="M156" s="167">
        <f t="shared" si="12"/>
        <v>9.2592111694823291</v>
      </c>
      <c r="N156" s="167">
        <f t="shared" si="13"/>
        <v>3.0428951952839798</v>
      </c>
      <c r="O156" s="172">
        <f t="shared" si="14"/>
        <v>32.86343879177457</v>
      </c>
      <c r="Q156" s="170" t="s">
        <v>140</v>
      </c>
      <c r="R156" s="174">
        <f t="shared" si="15"/>
        <v>14.131278680463065</v>
      </c>
      <c r="S156" s="167">
        <f t="shared" si="16"/>
        <v>9.2592111694823291</v>
      </c>
      <c r="T156" s="167">
        <f t="shared" si="17"/>
        <v>3.0428951952839798</v>
      </c>
      <c r="U156" s="172">
        <f t="shared" si="18"/>
        <v>32.86343879177457</v>
      </c>
      <c r="V156" s="175"/>
    </row>
    <row r="157" spans="2:22" s="173" customFormat="1" x14ac:dyDescent="0.25">
      <c r="B157" s="357">
        <f t="shared" si="19"/>
        <v>9.1011511607653972</v>
      </c>
      <c r="C157" s="354">
        <v>3.6</v>
      </c>
      <c r="D157" s="167">
        <f t="shared" si="6"/>
        <v>8.2442173824227289</v>
      </c>
      <c r="E157" s="167">
        <f t="shared" si="7"/>
        <v>16.488434764845458</v>
      </c>
      <c r="F157" s="168" t="s">
        <v>139</v>
      </c>
      <c r="G157" s="167">
        <f t="shared" si="8"/>
        <v>27.047957291413152</v>
      </c>
      <c r="H157" s="167">
        <f t="shared" si="9"/>
        <v>54.095914582826303</v>
      </c>
      <c r="I157" s="169" t="s">
        <v>139</v>
      </c>
      <c r="J157" s="170" t="s">
        <v>140</v>
      </c>
      <c r="K157" s="171">
        <f t="shared" si="10"/>
        <v>17.047957291413152</v>
      </c>
      <c r="L157" s="167">
        <f t="shared" si="11"/>
        <v>27.047957291413152</v>
      </c>
      <c r="M157" s="167">
        <f t="shared" si="12"/>
        <v>7.3159199363810989</v>
      </c>
      <c r="N157" s="167">
        <f t="shared" si="13"/>
        <v>2.7047957291413152</v>
      </c>
      <c r="O157" s="172">
        <f t="shared" si="14"/>
        <v>36.971368640746398</v>
      </c>
      <c r="Q157" s="170" t="s">
        <v>140</v>
      </c>
      <c r="R157" s="174">
        <f t="shared" si="15"/>
        <v>15.897688515520949</v>
      </c>
      <c r="S157" s="167">
        <f t="shared" si="16"/>
        <v>7.3159199363810989</v>
      </c>
      <c r="T157" s="167">
        <f t="shared" si="17"/>
        <v>2.7047957291413152</v>
      </c>
      <c r="U157" s="172">
        <f t="shared" si="18"/>
        <v>36.971368640746398</v>
      </c>
      <c r="V157" s="175"/>
    </row>
    <row r="158" spans="2:22" ht="13" x14ac:dyDescent="0.3">
      <c r="B158" s="358">
        <f t="shared" si="19"/>
        <v>9.593455665834643</v>
      </c>
      <c r="C158" s="353">
        <v>4</v>
      </c>
      <c r="D158" s="151">
        <f t="shared" si="6"/>
        <v>7.4197956441804562</v>
      </c>
      <c r="E158" s="151">
        <f t="shared" si="7"/>
        <v>14.839591288360912</v>
      </c>
      <c r="F158" s="152" t="s">
        <v>139</v>
      </c>
      <c r="G158" s="151">
        <f t="shared" si="8"/>
        <v>24.343161562271842</v>
      </c>
      <c r="H158" s="151">
        <f t="shared" si="9"/>
        <v>48.686323124543684</v>
      </c>
      <c r="I158" s="153" t="s">
        <v>139</v>
      </c>
      <c r="J158" s="60" t="s">
        <v>140</v>
      </c>
      <c r="K158" s="157">
        <f t="shared" si="10"/>
        <v>14.343161562271842</v>
      </c>
      <c r="L158" s="151">
        <f t="shared" si="11"/>
        <v>24.343161562271842</v>
      </c>
      <c r="M158" s="151">
        <f t="shared" si="12"/>
        <v>5.9258951484686921</v>
      </c>
      <c r="N158" s="151">
        <f t="shared" si="13"/>
        <v>2.434316156227184</v>
      </c>
      <c r="O158" s="158">
        <f t="shared" si="14"/>
        <v>41.079298489718212</v>
      </c>
      <c r="Q158" s="60" t="s">
        <v>140</v>
      </c>
      <c r="R158" s="165">
        <f t="shared" si="15"/>
        <v>17.664098350578829</v>
      </c>
      <c r="S158" s="151">
        <f t="shared" si="16"/>
        <v>5.9258951484686921</v>
      </c>
      <c r="T158" s="151">
        <f t="shared" si="17"/>
        <v>2.434316156227184</v>
      </c>
      <c r="U158" s="158">
        <f t="shared" si="18"/>
        <v>41.079298489718212</v>
      </c>
      <c r="V158" s="65"/>
    </row>
    <row r="159" spans="2:22" s="173" customFormat="1" x14ac:dyDescent="0.25">
      <c r="B159" s="357">
        <f t="shared" si="19"/>
        <v>10.175396334486273</v>
      </c>
      <c r="C159" s="354">
        <v>4.5</v>
      </c>
      <c r="D159" s="167">
        <f>E159/2</f>
        <v>6.5953739059381835</v>
      </c>
      <c r="E159" s="167">
        <f>POWER($J$10,2)/(C159*($J$16/($J$73*10)))/1000</f>
        <v>13.190747811876367</v>
      </c>
      <c r="F159" s="168" t="s">
        <v>139</v>
      </c>
      <c r="G159" s="167">
        <f>D159*1000/25.4/12</f>
        <v>21.638365833130525</v>
      </c>
      <c r="H159" s="167">
        <f>E159*1000/25.4/12</f>
        <v>43.27673166626105</v>
      </c>
      <c r="I159" s="169" t="s">
        <v>139</v>
      </c>
      <c r="J159" s="170" t="s">
        <v>140</v>
      </c>
      <c r="K159" s="171">
        <f>G159-$P$139</f>
        <v>11.638365833130525</v>
      </c>
      <c r="L159" s="167">
        <f t="shared" si="11"/>
        <v>21.638365833130525</v>
      </c>
      <c r="M159" s="167">
        <f>(G159/$P$139)^2</f>
        <v>4.6821887592839042</v>
      </c>
      <c r="N159" s="167">
        <f>G159/$P$139</f>
        <v>2.1638365833130524</v>
      </c>
      <c r="O159" s="172">
        <f>100/(L159/$P$139)</f>
        <v>46.214210800932989</v>
      </c>
      <c r="Q159" s="170" t="s">
        <v>140</v>
      </c>
      <c r="R159" s="174">
        <f t="shared" si="15"/>
        <v>19.872110644401186</v>
      </c>
      <c r="S159" s="167">
        <f>(G159/$W$139)^2</f>
        <v>4.6821887592839042</v>
      </c>
      <c r="T159" s="167">
        <f>G159/$W$139</f>
        <v>2.1638365833130524</v>
      </c>
      <c r="U159" s="172">
        <f t="shared" si="18"/>
        <v>46.214210800932989</v>
      </c>
      <c r="V159" s="175"/>
    </row>
    <row r="160" spans="2:22" s="173" customFormat="1" x14ac:dyDescent="0.25">
      <c r="B160" s="357">
        <f t="shared" si="19"/>
        <v>10.725809503968383</v>
      </c>
      <c r="C160" s="354">
        <v>5</v>
      </c>
      <c r="D160" s="167">
        <f>E160/2</f>
        <v>5.9358365153443655</v>
      </c>
      <c r="E160" s="167">
        <f>POWER($J$10,2)/(C160*($J$16/($J$73*10)))/1000</f>
        <v>11.871673030688731</v>
      </c>
      <c r="F160" s="168" t="s">
        <v>139</v>
      </c>
      <c r="G160" s="167">
        <f>D160*1000/25.4/12</f>
        <v>19.474529249817476</v>
      </c>
      <c r="H160" s="167">
        <f>E160*1000/25.4/12</f>
        <v>38.949058499634951</v>
      </c>
      <c r="I160" s="169" t="s">
        <v>139</v>
      </c>
      <c r="J160" s="170" t="s">
        <v>140</v>
      </c>
      <c r="K160" s="171">
        <f>G160-$P$139</f>
        <v>9.4745292498174756</v>
      </c>
      <c r="L160" s="167">
        <f t="shared" si="11"/>
        <v>19.474529249817476</v>
      </c>
      <c r="M160" s="167">
        <f>(G160/$P$139)^2</f>
        <v>3.7925728950199642</v>
      </c>
      <c r="N160" s="167">
        <f>G160/$P$139</f>
        <v>1.9474529249817476</v>
      </c>
      <c r="O160" s="172">
        <f>100/(L160/$P$139)</f>
        <v>51.349123112147751</v>
      </c>
      <c r="Q160" s="170" t="s">
        <v>140</v>
      </c>
      <c r="R160" s="174">
        <f t="shared" si="15"/>
        <v>22.080122938223536</v>
      </c>
      <c r="S160" s="167">
        <f>(G160/$W$139)^2</f>
        <v>3.7925728950199642</v>
      </c>
      <c r="T160" s="167">
        <f>G160/$W$139</f>
        <v>1.9474529249817476</v>
      </c>
      <c r="U160" s="172">
        <f t="shared" si="18"/>
        <v>51.349123112147751</v>
      </c>
      <c r="V160" s="175"/>
    </row>
    <row r="161" spans="2:22" ht="13" x14ac:dyDescent="0.3">
      <c r="B161" s="358">
        <f t="shared" si="19"/>
        <v>11.408605735273724</v>
      </c>
      <c r="C161" s="353">
        <f>SQRT(32)</f>
        <v>5.6568542494923806</v>
      </c>
      <c r="D161" s="151">
        <f t="shared" si="6"/>
        <v>5.2465878150184082</v>
      </c>
      <c r="E161" s="151">
        <f t="shared" si="7"/>
        <v>10.493175630036816</v>
      </c>
      <c r="F161" s="152" t="s">
        <v>139</v>
      </c>
      <c r="G161" s="151">
        <f t="shared" si="8"/>
        <v>17.213214616202126</v>
      </c>
      <c r="H161" s="151">
        <f t="shared" si="9"/>
        <v>34.426429232404253</v>
      </c>
      <c r="I161" s="153" t="s">
        <v>139</v>
      </c>
      <c r="J161" s="60" t="s">
        <v>140</v>
      </c>
      <c r="K161" s="157">
        <f t="shared" si="10"/>
        <v>7.2132146162021265</v>
      </c>
      <c r="L161" s="151">
        <f t="shared" si="11"/>
        <v>17.213214616202126</v>
      </c>
      <c r="M161" s="151">
        <f t="shared" si="12"/>
        <v>2.9629475742343452</v>
      </c>
      <c r="N161" s="151">
        <f t="shared" si="13"/>
        <v>1.7213214616202126</v>
      </c>
      <c r="O161" s="158">
        <f t="shared" si="14"/>
        <v>58.094901056932102</v>
      </c>
      <c r="Q161" s="60" t="s">
        <v>140</v>
      </c>
      <c r="R161" s="165">
        <f t="shared" si="15"/>
        <v>24.980807454480804</v>
      </c>
      <c r="S161" s="151">
        <f t="shared" si="16"/>
        <v>2.9629475742343452</v>
      </c>
      <c r="T161" s="151">
        <f t="shared" si="17"/>
        <v>1.7213214616202126</v>
      </c>
      <c r="U161" s="158">
        <f t="shared" si="18"/>
        <v>58.094901056932102</v>
      </c>
      <c r="V161" s="65"/>
    </row>
    <row r="162" spans="2:22" s="173" customFormat="1" x14ac:dyDescent="0.25">
      <c r="B162" s="357">
        <f t="shared" si="19"/>
        <v>12.039691307896033</v>
      </c>
      <c r="C162" s="354">
        <v>6.3</v>
      </c>
      <c r="D162" s="167">
        <f t="shared" si="6"/>
        <v>4.7109813613844169</v>
      </c>
      <c r="E162" s="167">
        <f t="shared" si="7"/>
        <v>9.4219627227688338</v>
      </c>
      <c r="F162" s="168" t="s">
        <v>139</v>
      </c>
      <c r="G162" s="167">
        <f t="shared" si="8"/>
        <v>15.455975595093234</v>
      </c>
      <c r="H162" s="167">
        <f t="shared" si="9"/>
        <v>30.911951190186468</v>
      </c>
      <c r="I162" s="169" t="s">
        <v>139</v>
      </c>
      <c r="J162" s="170" t="s">
        <v>140</v>
      </c>
      <c r="K162" s="171">
        <f t="shared" si="10"/>
        <v>5.4559755950932338</v>
      </c>
      <c r="L162" s="167">
        <f t="shared" si="11"/>
        <v>15.455975595093234</v>
      </c>
      <c r="M162" s="167">
        <f t="shared" si="12"/>
        <v>2.3888718159611764</v>
      </c>
      <c r="N162" s="167">
        <f t="shared" si="13"/>
        <v>1.5455975595093234</v>
      </c>
      <c r="O162" s="172">
        <f t="shared" si="14"/>
        <v>64.69989512130617</v>
      </c>
      <c r="Q162" s="170" t="s">
        <v>140</v>
      </c>
      <c r="R162" s="174">
        <f t="shared" si="15"/>
        <v>27.820954902161652</v>
      </c>
      <c r="S162" s="167">
        <f t="shared" si="16"/>
        <v>2.3888718159611764</v>
      </c>
      <c r="T162" s="167">
        <f t="shared" si="17"/>
        <v>1.5455975595093234</v>
      </c>
      <c r="U162" s="172">
        <f t="shared" si="18"/>
        <v>64.69989512130617</v>
      </c>
      <c r="V162" s="175"/>
    </row>
    <row r="163" spans="2:22" s="173" customFormat="1" x14ac:dyDescent="0.25">
      <c r="B163" s="357">
        <f t="shared" si="19"/>
        <v>12.781277131487849</v>
      </c>
      <c r="C163" s="354">
        <v>7.1</v>
      </c>
      <c r="D163" s="167">
        <f t="shared" si="6"/>
        <v>4.1801665601016653</v>
      </c>
      <c r="E163" s="167">
        <f t="shared" si="7"/>
        <v>8.3603331202033306</v>
      </c>
      <c r="F163" s="168" t="s">
        <v>139</v>
      </c>
      <c r="G163" s="167">
        <f t="shared" si="8"/>
        <v>13.714457218181318</v>
      </c>
      <c r="H163" s="167">
        <f t="shared" si="9"/>
        <v>27.428914436362636</v>
      </c>
      <c r="I163" s="169" t="s">
        <v>139</v>
      </c>
      <c r="J163" s="170" t="s">
        <v>140</v>
      </c>
      <c r="K163" s="171">
        <f t="shared" si="10"/>
        <v>3.7144572181813178</v>
      </c>
      <c r="L163" s="167">
        <f t="shared" si="11"/>
        <v>13.714457218181318</v>
      </c>
      <c r="M163" s="167">
        <f t="shared" si="12"/>
        <v>1.8808633678932565</v>
      </c>
      <c r="N163" s="167">
        <f t="shared" si="13"/>
        <v>1.3714457218181317</v>
      </c>
      <c r="O163" s="172">
        <f t="shared" si="14"/>
        <v>72.915754819249827</v>
      </c>
      <c r="Q163" s="170" t="s">
        <v>140</v>
      </c>
      <c r="R163" s="174">
        <f t="shared" si="15"/>
        <v>31.353774572277427</v>
      </c>
      <c r="S163" s="167">
        <f t="shared" si="16"/>
        <v>1.8808633678932565</v>
      </c>
      <c r="T163" s="167">
        <f t="shared" si="17"/>
        <v>1.3714457218181317</v>
      </c>
      <c r="U163" s="172">
        <f t="shared" si="18"/>
        <v>72.915754819249827</v>
      </c>
      <c r="V163" s="175"/>
    </row>
    <row r="164" spans="2:22" ht="13" x14ac:dyDescent="0.3">
      <c r="B164" s="358">
        <f t="shared" si="19"/>
        <v>13.567195112648362</v>
      </c>
      <c r="C164" s="353">
        <v>8</v>
      </c>
      <c r="D164" s="151">
        <f t="shared" si="6"/>
        <v>3.7098978220902281</v>
      </c>
      <c r="E164" s="151">
        <f t="shared" si="7"/>
        <v>7.4197956441804562</v>
      </c>
      <c r="F164" s="152" t="s">
        <v>139</v>
      </c>
      <c r="G164" s="151">
        <f t="shared" si="8"/>
        <v>12.171580781135921</v>
      </c>
      <c r="H164" s="151">
        <f t="shared" si="9"/>
        <v>24.343161562271842</v>
      </c>
      <c r="I164" s="153" t="s">
        <v>139</v>
      </c>
      <c r="J164" s="60" t="s">
        <v>140</v>
      </c>
      <c r="K164" s="157">
        <f t="shared" si="10"/>
        <v>2.1715807811359209</v>
      </c>
      <c r="L164" s="151">
        <f t="shared" si="11"/>
        <v>12.171580781135921</v>
      </c>
      <c r="M164" s="151">
        <f t="shared" si="12"/>
        <v>1.481473787117173</v>
      </c>
      <c r="N164" s="151">
        <f t="shared" si="13"/>
        <v>1.217158078113592</v>
      </c>
      <c r="O164" s="158">
        <f t="shared" si="14"/>
        <v>82.158596979436425</v>
      </c>
      <c r="Q164" s="60" t="s">
        <v>140</v>
      </c>
      <c r="R164" s="165">
        <f t="shared" si="15"/>
        <v>35.328196701157658</v>
      </c>
      <c r="S164" s="151">
        <f t="shared" si="16"/>
        <v>1.481473787117173</v>
      </c>
      <c r="T164" s="151">
        <f t="shared" si="17"/>
        <v>1.217158078113592</v>
      </c>
      <c r="U164" s="158">
        <f t="shared" si="18"/>
        <v>82.158596979436425</v>
      </c>
      <c r="V164" s="65"/>
    </row>
    <row r="165" spans="2:22" s="173" customFormat="1" x14ac:dyDescent="0.25">
      <c r="B165" s="357">
        <f t="shared" si="19"/>
        <v>14.390183498751965</v>
      </c>
      <c r="C165" s="354">
        <v>9</v>
      </c>
      <c r="D165" s="167">
        <f>E165/2</f>
        <v>3.2976869529690918</v>
      </c>
      <c r="E165" s="167">
        <f>POWER($J$10,2)/(C165*($J$16/($J$73*10)))/1000</f>
        <v>6.5953739059381835</v>
      </c>
      <c r="F165" s="168" t="s">
        <v>139</v>
      </c>
      <c r="G165" s="167">
        <f>D165*1000/25.4/12</f>
        <v>10.819182916565262</v>
      </c>
      <c r="H165" s="167">
        <f>E165*1000/25.4/12</f>
        <v>21.638365833130525</v>
      </c>
      <c r="I165" s="169" t="s">
        <v>139</v>
      </c>
      <c r="J165" s="170" t="s">
        <v>140</v>
      </c>
      <c r="K165" s="171">
        <f>G165-$P$139</f>
        <v>0.81918291656526243</v>
      </c>
      <c r="L165" s="167">
        <f t="shared" si="11"/>
        <v>10.819182916565262</v>
      </c>
      <c r="M165" s="167">
        <f>(G165/$P$139)^2</f>
        <v>1.1705471898209761</v>
      </c>
      <c r="N165" s="167">
        <f>G165/$P$139</f>
        <v>1.0819182916565262</v>
      </c>
      <c r="O165" s="172">
        <f>100/(L165/$P$139)</f>
        <v>92.428421601865978</v>
      </c>
      <c r="Q165" s="170" t="s">
        <v>140</v>
      </c>
      <c r="R165" s="174">
        <f t="shared" si="15"/>
        <v>39.744221288802372</v>
      </c>
      <c r="S165" s="167">
        <f>(G165/$W$139)^2</f>
        <v>1.1705471898209761</v>
      </c>
      <c r="T165" s="167">
        <f>G165/$W$139</f>
        <v>1.0819182916565262</v>
      </c>
      <c r="U165" s="172">
        <f t="shared" si="18"/>
        <v>92.428421601865978</v>
      </c>
      <c r="V165" s="175"/>
    </row>
    <row r="166" spans="2:22" s="173" customFormat="1" x14ac:dyDescent="0.25">
      <c r="B166" s="357">
        <f t="shared" si="19"/>
        <v>15.244239529118708</v>
      </c>
      <c r="C166" s="354">
        <v>10.1</v>
      </c>
      <c r="D166" s="167">
        <f>E166/2</f>
        <v>2.9385329283882995</v>
      </c>
      <c r="E166" s="167">
        <f>POWER($J$10,2)/(C166*($J$16/($J$73*10)))/1000</f>
        <v>5.877065856776599</v>
      </c>
      <c r="F166" s="168" t="s">
        <v>139</v>
      </c>
      <c r="G166" s="167">
        <f>D166*1000/25.4/12</f>
        <v>9.6408560642660746</v>
      </c>
      <c r="H166" s="167">
        <f>E166*1000/25.4/12</f>
        <v>19.281712128532149</v>
      </c>
      <c r="I166" s="169" t="s">
        <v>139</v>
      </c>
      <c r="J166" s="170" t="s">
        <v>140</v>
      </c>
      <c r="K166" s="171">
        <f>G166-$P$139</f>
        <v>-0.35914393573392545</v>
      </c>
      <c r="L166" s="167">
        <f t="shared" si="11"/>
        <v>9.6408560642660746</v>
      </c>
      <c r="M166" s="167">
        <f>(G166/$P$139)^2</f>
        <v>0.92946105651895949</v>
      </c>
      <c r="N166" s="167">
        <f>G166/$P$139</f>
        <v>0.96408560642660746</v>
      </c>
      <c r="O166" s="172">
        <f>100/(L166/$P$139)</f>
        <v>103.72522868653849</v>
      </c>
      <c r="Q166" s="170" t="s">
        <v>140</v>
      </c>
      <c r="R166" s="174">
        <f t="shared" si="15"/>
        <v>44.60184833521155</v>
      </c>
      <c r="S166" s="167">
        <f>(G166/$W$139)^2</f>
        <v>0.92946105651895949</v>
      </c>
      <c r="T166" s="167">
        <f>G166/$W$139</f>
        <v>0.96408560642660746</v>
      </c>
      <c r="U166" s="172">
        <f t="shared" si="18"/>
        <v>103.72522868653849</v>
      </c>
      <c r="V166" s="175"/>
    </row>
    <row r="167" spans="2:22" ht="13" x14ac:dyDescent="0.3">
      <c r="B167" s="358">
        <f t="shared" si="19"/>
        <v>16.134204958591575</v>
      </c>
      <c r="C167" s="353">
        <f>SQRT(128)</f>
        <v>11.313708498984761</v>
      </c>
      <c r="D167" s="151">
        <f t="shared" si="6"/>
        <v>2.6232939075092041</v>
      </c>
      <c r="E167" s="151">
        <f t="shared" si="7"/>
        <v>5.2465878150184082</v>
      </c>
      <c r="F167" s="152" t="s">
        <v>139</v>
      </c>
      <c r="G167" s="151">
        <f t="shared" si="8"/>
        <v>8.6066073081010632</v>
      </c>
      <c r="H167" s="151">
        <f t="shared" si="9"/>
        <v>17.213214616202126</v>
      </c>
      <c r="I167" s="153" t="s">
        <v>139</v>
      </c>
      <c r="J167" s="60" t="s">
        <v>140</v>
      </c>
      <c r="K167" s="157">
        <f t="shared" si="10"/>
        <v>-1.3933926918989368</v>
      </c>
      <c r="L167" s="151">
        <f t="shared" si="11"/>
        <v>8.6066073081010632</v>
      </c>
      <c r="M167" s="151">
        <f t="shared" si="12"/>
        <v>0.7407368935585863</v>
      </c>
      <c r="N167" s="151">
        <f t="shared" si="13"/>
        <v>0.8606607308101063</v>
      </c>
      <c r="O167" s="158">
        <f t="shared" si="14"/>
        <v>116.1898021138642</v>
      </c>
      <c r="Q167" s="60" t="s">
        <v>140</v>
      </c>
      <c r="R167" s="165">
        <f t="shared" si="15"/>
        <v>49.961614908961607</v>
      </c>
      <c r="S167" s="151">
        <f t="shared" si="16"/>
        <v>0.7407368935585863</v>
      </c>
      <c r="T167" s="151">
        <f t="shared" si="17"/>
        <v>0.8606607308101063</v>
      </c>
      <c r="U167" s="158">
        <f t="shared" si="18"/>
        <v>116.1898021138642</v>
      </c>
      <c r="V167" s="65"/>
    </row>
    <row r="168" spans="2:22" s="173" customFormat="1" x14ac:dyDescent="0.25">
      <c r="B168" s="357">
        <f t="shared" si="19"/>
        <v>17.094127452700327</v>
      </c>
      <c r="C168" s="354">
        <v>12.7</v>
      </c>
      <c r="D168" s="167">
        <f t="shared" si="6"/>
        <v>2.3369435099780969</v>
      </c>
      <c r="E168" s="167">
        <f t="shared" si="7"/>
        <v>4.6738870199561937</v>
      </c>
      <c r="F168" s="168" t="s">
        <v>139</v>
      </c>
      <c r="G168" s="167">
        <f t="shared" si="8"/>
        <v>7.6671374999281392</v>
      </c>
      <c r="H168" s="167">
        <f t="shared" si="9"/>
        <v>15.334274999856278</v>
      </c>
      <c r="I168" s="169" t="s">
        <v>139</v>
      </c>
      <c r="J168" s="170" t="s">
        <v>140</v>
      </c>
      <c r="K168" s="171">
        <f t="shared" si="10"/>
        <v>-2.3328625000718608</v>
      </c>
      <c r="L168" s="167">
        <f t="shared" si="11"/>
        <v>7.6671374999281392</v>
      </c>
      <c r="M168" s="167">
        <f t="shared" si="12"/>
        <v>0.58784997442804321</v>
      </c>
      <c r="N168" s="167">
        <f t="shared" si="13"/>
        <v>0.76671374999281394</v>
      </c>
      <c r="O168" s="172">
        <f t="shared" si="14"/>
        <v>130.4267727048553</v>
      </c>
      <c r="Q168" s="170" t="s">
        <v>140</v>
      </c>
      <c r="R168" s="174">
        <f t="shared" si="15"/>
        <v>56.083512263087783</v>
      </c>
      <c r="S168" s="167">
        <f t="shared" si="16"/>
        <v>0.58784997442804321</v>
      </c>
      <c r="T168" s="167">
        <f t="shared" si="17"/>
        <v>0.76671374999281394</v>
      </c>
      <c r="U168" s="172">
        <f t="shared" si="18"/>
        <v>130.4267727048553</v>
      </c>
      <c r="V168" s="175"/>
    </row>
    <row r="169" spans="2:22" s="173" customFormat="1" x14ac:dyDescent="0.25">
      <c r="B169" s="357">
        <f t="shared" si="19"/>
        <v>18.138989773802095</v>
      </c>
      <c r="C169" s="354">
        <v>14.3</v>
      </c>
      <c r="D169" s="167">
        <f t="shared" si="6"/>
        <v>2.0754673130574703</v>
      </c>
      <c r="E169" s="167">
        <f t="shared" si="7"/>
        <v>4.1509346261149407</v>
      </c>
      <c r="F169" s="168" t="s">
        <v>139</v>
      </c>
      <c r="G169" s="167">
        <f t="shared" si="8"/>
        <v>6.8092759614746399</v>
      </c>
      <c r="H169" s="167">
        <f t="shared" si="9"/>
        <v>13.61855192294928</v>
      </c>
      <c r="I169" s="169" t="s">
        <v>139</v>
      </c>
      <c r="J169" s="170" t="s">
        <v>140</v>
      </c>
      <c r="K169" s="171">
        <f t="shared" si="10"/>
        <v>-3.1907240385253601</v>
      </c>
      <c r="L169" s="167">
        <f t="shared" si="11"/>
        <v>6.8092759614746399</v>
      </c>
      <c r="M169" s="167">
        <f t="shared" si="12"/>
        <v>0.46366239119516384</v>
      </c>
      <c r="N169" s="167">
        <f t="shared" si="13"/>
        <v>0.68092759614746401</v>
      </c>
      <c r="O169" s="172">
        <f t="shared" si="14"/>
        <v>146.85849210074261</v>
      </c>
      <c r="Q169" s="170" t="s">
        <v>140</v>
      </c>
      <c r="R169" s="174">
        <f t="shared" si="15"/>
        <v>63.149151603319325</v>
      </c>
      <c r="S169" s="167">
        <f t="shared" si="16"/>
        <v>0.46366239119516384</v>
      </c>
      <c r="T169" s="167">
        <f t="shared" si="17"/>
        <v>0.68092759614746401</v>
      </c>
      <c r="U169" s="172">
        <f t="shared" si="18"/>
        <v>146.85849210074261</v>
      </c>
      <c r="V169" s="175"/>
    </row>
    <row r="170" spans="2:22" ht="13" x14ac:dyDescent="0.3">
      <c r="B170" s="358">
        <f t="shared" si="19"/>
        <v>19.186911331669286</v>
      </c>
      <c r="C170" s="353">
        <v>16</v>
      </c>
      <c r="D170" s="151">
        <f t="shared" si="6"/>
        <v>1.8549489110451141</v>
      </c>
      <c r="E170" s="151">
        <f t="shared" si="7"/>
        <v>3.7098978220902281</v>
      </c>
      <c r="F170" s="152" t="s">
        <v>139</v>
      </c>
      <c r="G170" s="151">
        <f t="shared" si="8"/>
        <v>6.0857903905679605</v>
      </c>
      <c r="H170" s="151">
        <f t="shared" si="9"/>
        <v>12.171580781135921</v>
      </c>
      <c r="I170" s="153" t="s">
        <v>139</v>
      </c>
      <c r="J170" s="60" t="s">
        <v>140</v>
      </c>
      <c r="K170" s="157">
        <f t="shared" si="10"/>
        <v>-3.9142096094320395</v>
      </c>
      <c r="L170" s="151">
        <f t="shared" si="11"/>
        <v>6.0857903905679605</v>
      </c>
      <c r="M170" s="151">
        <f t="shared" si="12"/>
        <v>0.37036844677929326</v>
      </c>
      <c r="N170" s="151">
        <f t="shared" si="13"/>
        <v>0.608579039056796</v>
      </c>
      <c r="O170" s="158">
        <f t="shared" si="14"/>
        <v>164.31719395887285</v>
      </c>
      <c r="Q170" s="60" t="s">
        <v>140</v>
      </c>
      <c r="R170" s="165">
        <f t="shared" si="15"/>
        <v>70.656393402315317</v>
      </c>
      <c r="S170" s="151">
        <f t="shared" si="16"/>
        <v>0.37036844677929326</v>
      </c>
      <c r="T170" s="151">
        <f t="shared" si="17"/>
        <v>0.608579039056796</v>
      </c>
      <c r="U170" s="158">
        <f t="shared" si="18"/>
        <v>164.31719395887285</v>
      </c>
      <c r="V170" s="65"/>
    </row>
    <row r="171" spans="2:22" s="173" customFormat="1" x14ac:dyDescent="0.25">
      <c r="B171" s="357">
        <f t="shared" si="19"/>
        <v>20.350792668972545</v>
      </c>
      <c r="C171" s="354">
        <v>18</v>
      </c>
      <c r="D171" s="167">
        <f>E171/2</f>
        <v>1.6488434764845459</v>
      </c>
      <c r="E171" s="167">
        <f>POWER($J$10,2)/(C171*($J$16/($J$73*10)))/1000</f>
        <v>3.2976869529690918</v>
      </c>
      <c r="F171" s="168" t="s">
        <v>139</v>
      </c>
      <c r="G171" s="167">
        <f>D171*1000/25.4/12</f>
        <v>5.4095914582826312</v>
      </c>
      <c r="H171" s="167">
        <f>E171*1000/25.4/12</f>
        <v>10.819182916565262</v>
      </c>
      <c r="I171" s="169" t="s">
        <v>139</v>
      </c>
      <c r="J171" s="170" t="s">
        <v>140</v>
      </c>
      <c r="K171" s="171">
        <f>G171-$P$139</f>
        <v>-4.5904085417173688</v>
      </c>
      <c r="L171" s="167">
        <f t="shared" si="11"/>
        <v>5.4095914582826312</v>
      </c>
      <c r="M171" s="167">
        <f>(G171/$P$139)^2</f>
        <v>0.29263679745524401</v>
      </c>
      <c r="N171" s="167">
        <f>G171/$P$139</f>
        <v>0.5409591458282631</v>
      </c>
      <c r="O171" s="172">
        <f>100/(L171/$P$139)</f>
        <v>184.85684320373196</v>
      </c>
      <c r="Q171" s="170" t="s">
        <v>140</v>
      </c>
      <c r="R171" s="174">
        <f t="shared" si="15"/>
        <v>79.488442577604744</v>
      </c>
      <c r="S171" s="167">
        <f>(G171/$W$139)^2</f>
        <v>0.29263679745524401</v>
      </c>
      <c r="T171" s="167">
        <f>G171/$W$139</f>
        <v>0.5409591458282631</v>
      </c>
      <c r="U171" s="172">
        <f t="shared" si="18"/>
        <v>184.85684320373196</v>
      </c>
      <c r="V171" s="175"/>
    </row>
    <row r="172" spans="2:22" s="173" customFormat="1" x14ac:dyDescent="0.25">
      <c r="B172" s="357">
        <f t="shared" si="19"/>
        <v>21.558610290143722</v>
      </c>
      <c r="C172" s="354">
        <v>20.2</v>
      </c>
      <c r="D172" s="167">
        <f>E172/2</f>
        <v>1.4692664641941497</v>
      </c>
      <c r="E172" s="167">
        <f>POWER($J$10,2)/(C172*($J$16/($J$73*10)))/1000</f>
        <v>2.9385329283882995</v>
      </c>
      <c r="F172" s="168" t="s">
        <v>139</v>
      </c>
      <c r="G172" s="167">
        <f>D172*1000/25.4/12</f>
        <v>4.8204280321330373</v>
      </c>
      <c r="H172" s="167">
        <f>E172*1000/25.4/12</f>
        <v>9.6408560642660746</v>
      </c>
      <c r="I172" s="169" t="s">
        <v>139</v>
      </c>
      <c r="J172" s="170" t="s">
        <v>140</v>
      </c>
      <c r="K172" s="171">
        <f>G172-$P$139</f>
        <v>-5.1795719678669627</v>
      </c>
      <c r="L172" s="167">
        <f t="shared" si="11"/>
        <v>4.8204280321330373</v>
      </c>
      <c r="M172" s="167">
        <f>(G172/$P$139)^2</f>
        <v>0.23236526412973987</v>
      </c>
      <c r="N172" s="167">
        <f>G172/$P$139</f>
        <v>0.48204280321330373</v>
      </c>
      <c r="O172" s="172">
        <f>100/(L172/$P$139)</f>
        <v>207.45045737307697</v>
      </c>
      <c r="Q172" s="170" t="s">
        <v>140</v>
      </c>
      <c r="R172" s="174">
        <f t="shared" si="15"/>
        <v>89.203696670423099</v>
      </c>
      <c r="S172" s="167">
        <f>(G172/$W$139)^2</f>
        <v>0.23236526412973987</v>
      </c>
      <c r="T172" s="167">
        <f>G172/$W$139</f>
        <v>0.48204280321330373</v>
      </c>
      <c r="U172" s="172">
        <f t="shared" si="18"/>
        <v>207.45045737307697</v>
      </c>
      <c r="V172" s="175"/>
    </row>
    <row r="173" spans="2:22" ht="13" x14ac:dyDescent="0.3">
      <c r="B173" s="358">
        <f t="shared" si="19"/>
        <v>22.817211470547448</v>
      </c>
      <c r="C173" s="353">
        <f>SQRT(512)</f>
        <v>22.627416997969522</v>
      </c>
      <c r="D173" s="151">
        <f t="shared" si="6"/>
        <v>1.3116469537546021</v>
      </c>
      <c r="E173" s="151">
        <f t="shared" si="7"/>
        <v>2.6232939075092041</v>
      </c>
      <c r="F173" s="152" t="s">
        <v>139</v>
      </c>
      <c r="G173" s="151">
        <f t="shared" si="8"/>
        <v>4.3033036540505316</v>
      </c>
      <c r="H173" s="151">
        <f t="shared" si="9"/>
        <v>8.6066073081010632</v>
      </c>
      <c r="I173" s="153" t="s">
        <v>139</v>
      </c>
      <c r="J173" s="60" t="s">
        <v>140</v>
      </c>
      <c r="K173" s="157">
        <f t="shared" si="10"/>
        <v>-5.6966963459494684</v>
      </c>
      <c r="L173" s="151">
        <f t="shared" si="11"/>
        <v>4.3033036540505316</v>
      </c>
      <c r="M173" s="151">
        <f t="shared" si="12"/>
        <v>0.18518422338964657</v>
      </c>
      <c r="N173" s="151">
        <f t="shared" si="13"/>
        <v>0.43033036540505315</v>
      </c>
      <c r="O173" s="158">
        <f t="shared" si="14"/>
        <v>232.37960422772841</v>
      </c>
      <c r="Q173" s="60" t="s">
        <v>140</v>
      </c>
      <c r="R173" s="165">
        <f t="shared" si="15"/>
        <v>99.923229817923215</v>
      </c>
      <c r="S173" s="151">
        <f t="shared" si="16"/>
        <v>0.18518422338964657</v>
      </c>
      <c r="T173" s="151">
        <f t="shared" si="17"/>
        <v>0.43033036540505315</v>
      </c>
      <c r="U173" s="158">
        <f t="shared" si="18"/>
        <v>232.37960422772841</v>
      </c>
      <c r="V173" s="65"/>
    </row>
    <row r="174" spans="2:22" s="173" customFormat="1" x14ac:dyDescent="0.25">
      <c r="B174" s="357">
        <f t="shared" si="19"/>
        <v>24.174746880543051</v>
      </c>
      <c r="C174" s="354">
        <v>25.4</v>
      </c>
      <c r="D174" s="167">
        <f t="shared" si="6"/>
        <v>1.1684717549890484</v>
      </c>
      <c r="E174" s="167">
        <f t="shared" si="7"/>
        <v>2.3369435099780969</v>
      </c>
      <c r="F174" s="168" t="s">
        <v>139</v>
      </c>
      <c r="G174" s="167">
        <f t="shared" si="8"/>
        <v>3.8335687499640696</v>
      </c>
      <c r="H174" s="167">
        <f t="shared" si="9"/>
        <v>7.6671374999281392</v>
      </c>
      <c r="I174" s="169" t="s">
        <v>139</v>
      </c>
      <c r="J174" s="170" t="s">
        <v>140</v>
      </c>
      <c r="K174" s="171">
        <f t="shared" si="10"/>
        <v>-6.1664312500359308</v>
      </c>
      <c r="L174" s="167">
        <f t="shared" si="11"/>
        <v>3.8335687499640692</v>
      </c>
      <c r="M174" s="167">
        <f t="shared" si="12"/>
        <v>0.1469624936070108</v>
      </c>
      <c r="N174" s="167">
        <f t="shared" si="13"/>
        <v>0.38335687499640697</v>
      </c>
      <c r="O174" s="172">
        <f t="shared" si="14"/>
        <v>260.85354540971065</v>
      </c>
      <c r="Q174" s="170" t="s">
        <v>140</v>
      </c>
      <c r="R174" s="174">
        <f t="shared" si="15"/>
        <v>112.16702452617557</v>
      </c>
      <c r="S174" s="167">
        <f t="shared" si="16"/>
        <v>0.1469624936070108</v>
      </c>
      <c r="T174" s="167">
        <f t="shared" si="17"/>
        <v>0.38335687499640697</v>
      </c>
      <c r="U174" s="172">
        <f t="shared" si="18"/>
        <v>260.85354540971059</v>
      </c>
      <c r="V174" s="175"/>
    </row>
    <row r="175" spans="2:22" s="173" customFormat="1" x14ac:dyDescent="0.25">
      <c r="B175" s="357">
        <f t="shared" si="19"/>
        <v>25.607519212877403</v>
      </c>
      <c r="C175" s="354">
        <v>28.5</v>
      </c>
      <c r="D175" s="167">
        <f t="shared" si="6"/>
        <v>1.0413748272533974</v>
      </c>
      <c r="E175" s="167">
        <f t="shared" si="7"/>
        <v>2.0827496545067947</v>
      </c>
      <c r="F175" s="168" t="s">
        <v>139</v>
      </c>
      <c r="G175" s="167">
        <f t="shared" si="8"/>
        <v>3.4165840789153457</v>
      </c>
      <c r="H175" s="167">
        <f t="shared" si="9"/>
        <v>6.8331681578306913</v>
      </c>
      <c r="I175" s="169" t="s">
        <v>139</v>
      </c>
      <c r="J175" s="170" t="s">
        <v>140</v>
      </c>
      <c r="K175" s="171">
        <f t="shared" si="10"/>
        <v>-6.5834159210846543</v>
      </c>
      <c r="L175" s="167">
        <f t="shared" si="11"/>
        <v>3.4165840789153457</v>
      </c>
      <c r="M175" s="167">
        <f t="shared" si="12"/>
        <v>0.11673046768297821</v>
      </c>
      <c r="N175" s="167">
        <f t="shared" si="13"/>
        <v>0.34165840789153457</v>
      </c>
      <c r="O175" s="172">
        <f t="shared" si="14"/>
        <v>292.69000173924229</v>
      </c>
      <c r="Q175" s="170" t="s">
        <v>140</v>
      </c>
      <c r="R175" s="174">
        <f t="shared" si="15"/>
        <v>125.85670074787419</v>
      </c>
      <c r="S175" s="167">
        <f t="shared" si="16"/>
        <v>0.11673046768297821</v>
      </c>
      <c r="T175" s="167">
        <f t="shared" si="17"/>
        <v>0.34165840789153457</v>
      </c>
      <c r="U175" s="172">
        <f t="shared" si="18"/>
        <v>292.69000173924229</v>
      </c>
      <c r="V175" s="175"/>
    </row>
    <row r="176" spans="2:22" ht="13" x14ac:dyDescent="0.3">
      <c r="B176" s="358">
        <f t="shared" si="19"/>
        <v>27.134390225296723</v>
      </c>
      <c r="C176" s="353">
        <v>32</v>
      </c>
      <c r="D176" s="151">
        <f t="shared" si="6"/>
        <v>0.92747445552255703</v>
      </c>
      <c r="E176" s="151">
        <f t="shared" si="7"/>
        <v>1.8549489110451141</v>
      </c>
      <c r="F176" s="152" t="s">
        <v>139</v>
      </c>
      <c r="G176" s="151">
        <f t="shared" si="8"/>
        <v>3.0428951952839802</v>
      </c>
      <c r="H176" s="151">
        <f t="shared" si="9"/>
        <v>6.0857903905679605</v>
      </c>
      <c r="I176" s="153" t="s">
        <v>139</v>
      </c>
      <c r="J176" s="60" t="s">
        <v>140</v>
      </c>
      <c r="K176" s="157">
        <f t="shared" si="10"/>
        <v>-6.9571048047160193</v>
      </c>
      <c r="L176" s="151">
        <f t="shared" si="11"/>
        <v>3.0428951952839807</v>
      </c>
      <c r="M176" s="151">
        <f t="shared" si="12"/>
        <v>9.2592111694823315E-2</v>
      </c>
      <c r="N176" s="151">
        <f t="shared" si="13"/>
        <v>0.304289519528398</v>
      </c>
      <c r="O176" s="158">
        <f t="shared" si="14"/>
        <v>328.63438791774564</v>
      </c>
      <c r="Q176" s="60" t="s">
        <v>140</v>
      </c>
      <c r="R176" s="165">
        <f t="shared" si="15"/>
        <v>141.31278680463063</v>
      </c>
      <c r="S176" s="151">
        <f t="shared" si="16"/>
        <v>9.2592111694823315E-2</v>
      </c>
      <c r="T176" s="151">
        <f t="shared" si="17"/>
        <v>0.304289519528398</v>
      </c>
      <c r="U176" s="158">
        <f t="shared" si="18"/>
        <v>328.6343879177457</v>
      </c>
      <c r="V176" s="65"/>
    </row>
    <row r="177" spans="2:22" s="173" customFormat="1" x14ac:dyDescent="0.25">
      <c r="B177" s="357">
        <f t="shared" si="19"/>
        <v>28.740366468100312</v>
      </c>
      <c r="C177" s="354">
        <v>35.9</v>
      </c>
      <c r="D177" s="167">
        <f>E177/2</f>
        <v>0.82671817762456334</v>
      </c>
      <c r="E177" s="167">
        <f>POWER($J$10,2)/(C177*($J$16/($J$73*10)))/1000</f>
        <v>1.6534363552491267</v>
      </c>
      <c r="F177" s="168" t="s">
        <v>139</v>
      </c>
      <c r="G177" s="167">
        <f>D177*1000/25.4/12</f>
        <v>2.7123299790832132</v>
      </c>
      <c r="H177" s="167">
        <f>E177*1000/25.4/12</f>
        <v>5.4246599581664263</v>
      </c>
      <c r="I177" s="169" t="s">
        <v>139</v>
      </c>
      <c r="J177" s="170" t="s">
        <v>140</v>
      </c>
      <c r="K177" s="171">
        <f>G177-$P$139</f>
        <v>-7.2876700209167868</v>
      </c>
      <c r="L177" s="167">
        <f t="shared" si="11"/>
        <v>2.7123299790832132</v>
      </c>
      <c r="M177" s="167">
        <f>(G177/$P$139)^2</f>
        <v>7.3567339154335443E-2</v>
      </c>
      <c r="N177" s="167">
        <f>G177/$P$139</f>
        <v>0.27123299790832134</v>
      </c>
      <c r="O177" s="172">
        <f>100/(L177/$P$139)</f>
        <v>368.68670394522093</v>
      </c>
      <c r="Q177" s="170" t="s">
        <v>140</v>
      </c>
      <c r="R177" s="174">
        <f t="shared" si="15"/>
        <v>158.53528269644499</v>
      </c>
      <c r="S177" s="167">
        <f>(G177/$W$139)^2</f>
        <v>7.3567339154335443E-2</v>
      </c>
      <c r="T177" s="167">
        <f>G177/$W$139</f>
        <v>0.27123299790832134</v>
      </c>
      <c r="U177" s="172">
        <f t="shared" si="18"/>
        <v>368.68670394522093</v>
      </c>
      <c r="V177" s="175"/>
    </row>
    <row r="178" spans="2:22" s="173" customFormat="1" x14ac:dyDescent="0.25">
      <c r="B178" s="357">
        <f t="shared" si="19"/>
        <v>30.450722413339772</v>
      </c>
      <c r="C178" s="354">
        <v>40.299999999999997</v>
      </c>
      <c r="D178" s="167">
        <f>E178/2</f>
        <v>0.73645614334297338</v>
      </c>
      <c r="E178" s="167">
        <f>POWER($J$10,2)/(C178*($J$16/($J$73*10)))/1000</f>
        <v>1.4729122866859468</v>
      </c>
      <c r="F178" s="168" t="s">
        <v>139</v>
      </c>
      <c r="G178" s="167">
        <f>D178*1000/25.4/12</f>
        <v>2.4161946960071305</v>
      </c>
      <c r="H178" s="167">
        <f>E178*1000/25.4/12</f>
        <v>4.8323893920142611</v>
      </c>
      <c r="I178" s="169" t="s">
        <v>139</v>
      </c>
      <c r="J178" s="170" t="s">
        <v>140</v>
      </c>
      <c r="K178" s="171">
        <f>G178-$P$139</f>
        <v>-7.5838053039928699</v>
      </c>
      <c r="L178" s="167">
        <f t="shared" si="11"/>
        <v>2.4161946960071301</v>
      </c>
      <c r="M178" s="167">
        <f>(G178/$P$139)^2</f>
        <v>5.8379968090129908E-2</v>
      </c>
      <c r="N178" s="167">
        <f>G178/$P$139</f>
        <v>0.24161946960071307</v>
      </c>
      <c r="O178" s="172">
        <f>100/(L178/$P$139)</f>
        <v>413.87393228391107</v>
      </c>
      <c r="Q178" s="170" t="s">
        <v>140</v>
      </c>
      <c r="R178" s="174">
        <f t="shared" si="15"/>
        <v>177.96579088208171</v>
      </c>
      <c r="S178" s="167">
        <f>(G178/$W$139)^2</f>
        <v>5.8379968090129908E-2</v>
      </c>
      <c r="T178" s="167">
        <f>G178/$W$139</f>
        <v>0.24161946960071307</v>
      </c>
      <c r="U178" s="172">
        <f t="shared" si="18"/>
        <v>413.87393228391096</v>
      </c>
      <c r="V178" s="175"/>
    </row>
    <row r="179" spans="2:22" ht="13" x14ac:dyDescent="0.3">
      <c r="B179" s="358">
        <f t="shared" si="19"/>
        <v>32.268409917183149</v>
      </c>
      <c r="C179" s="353">
        <f>SQRT(2048)</f>
        <v>45.254833995939045</v>
      </c>
      <c r="D179" s="151">
        <f t="shared" si="6"/>
        <v>0.65582347687730103</v>
      </c>
      <c r="E179" s="151">
        <f t="shared" si="7"/>
        <v>1.3116469537546021</v>
      </c>
      <c r="F179" s="152" t="s">
        <v>139</v>
      </c>
      <c r="G179" s="151">
        <f t="shared" si="8"/>
        <v>2.1516518270252658</v>
      </c>
      <c r="H179" s="151">
        <f t="shared" si="9"/>
        <v>4.3033036540505316</v>
      </c>
      <c r="I179" s="153" t="s">
        <v>139</v>
      </c>
      <c r="J179" s="60" t="s">
        <v>140</v>
      </c>
      <c r="K179" s="157">
        <f t="shared" si="10"/>
        <v>-7.8483481729747346</v>
      </c>
      <c r="L179" s="151">
        <f t="shared" si="11"/>
        <v>2.1516518270252654</v>
      </c>
      <c r="M179" s="151">
        <f t="shared" si="12"/>
        <v>4.6296055847411643E-2</v>
      </c>
      <c r="N179" s="151">
        <f t="shared" si="13"/>
        <v>0.21516518270252658</v>
      </c>
      <c r="O179" s="158">
        <f t="shared" si="14"/>
        <v>464.75920845545687</v>
      </c>
      <c r="Q179" s="60" t="s">
        <v>140</v>
      </c>
      <c r="R179" s="165">
        <f t="shared" si="15"/>
        <v>199.84645963584643</v>
      </c>
      <c r="S179" s="151">
        <f t="shared" si="16"/>
        <v>4.6296055847411643E-2</v>
      </c>
      <c r="T179" s="151">
        <f t="shared" si="17"/>
        <v>0.21516518270252658</v>
      </c>
      <c r="U179" s="158">
        <f t="shared" si="18"/>
        <v>464.75920845545681</v>
      </c>
      <c r="V179" s="65"/>
    </row>
    <row r="180" spans="2:22" s="173" customFormat="1" x14ac:dyDescent="0.25">
      <c r="B180" s="357">
        <f t="shared" si="19"/>
        <v>34.188254905400655</v>
      </c>
      <c r="C180" s="354">
        <v>50.8</v>
      </c>
      <c r="D180" s="167">
        <f t="shared" si="6"/>
        <v>0.58423587749452421</v>
      </c>
      <c r="E180" s="167">
        <f t="shared" si="7"/>
        <v>1.1684717549890484</v>
      </c>
      <c r="F180" s="168" t="s">
        <v>139</v>
      </c>
      <c r="G180" s="167">
        <f t="shared" si="8"/>
        <v>1.9167843749820348</v>
      </c>
      <c r="H180" s="167">
        <f t="shared" si="9"/>
        <v>3.8335687499640696</v>
      </c>
      <c r="I180" s="169" t="s">
        <v>139</v>
      </c>
      <c r="J180" s="170" t="s">
        <v>140</v>
      </c>
      <c r="K180" s="171">
        <f t="shared" si="10"/>
        <v>-8.0832156250179654</v>
      </c>
      <c r="L180" s="167">
        <f t="shared" si="11"/>
        <v>1.9167843749820346</v>
      </c>
      <c r="M180" s="167">
        <f t="shared" si="12"/>
        <v>3.6740623401752701E-2</v>
      </c>
      <c r="N180" s="167">
        <f t="shared" si="13"/>
        <v>0.19167843749820349</v>
      </c>
      <c r="O180" s="172">
        <f t="shared" si="14"/>
        <v>521.7070908194213</v>
      </c>
      <c r="Q180" s="170" t="s">
        <v>140</v>
      </c>
      <c r="R180" s="174">
        <f t="shared" si="15"/>
        <v>224.33404905235113</v>
      </c>
      <c r="S180" s="167">
        <f t="shared" si="16"/>
        <v>3.6740623401752701E-2</v>
      </c>
      <c r="T180" s="167">
        <f t="shared" si="17"/>
        <v>0.19167843749820349</v>
      </c>
      <c r="U180" s="172">
        <f t="shared" si="18"/>
        <v>521.70709081942118</v>
      </c>
      <c r="V180" s="175"/>
    </row>
    <row r="181" spans="2:22" s="173" customFormat="1" x14ac:dyDescent="0.25">
      <c r="B181" s="357">
        <f t="shared" si="19"/>
        <v>36.214500969580826</v>
      </c>
      <c r="C181" s="354">
        <v>57</v>
      </c>
      <c r="D181" s="167">
        <f t="shared" si="6"/>
        <v>0.52068741362669868</v>
      </c>
      <c r="E181" s="167">
        <f t="shared" si="7"/>
        <v>1.0413748272533974</v>
      </c>
      <c r="F181" s="168" t="s">
        <v>139</v>
      </c>
      <c r="G181" s="167">
        <f t="shared" si="8"/>
        <v>1.7082920394576728</v>
      </c>
      <c r="H181" s="167">
        <f t="shared" si="9"/>
        <v>3.4165840789153457</v>
      </c>
      <c r="I181" s="169" t="s">
        <v>139</v>
      </c>
      <c r="J181" s="170" t="s">
        <v>140</v>
      </c>
      <c r="K181" s="171">
        <f t="shared" si="10"/>
        <v>-8.2917079605423272</v>
      </c>
      <c r="L181" s="167">
        <f t="shared" si="11"/>
        <v>1.7082920394576728</v>
      </c>
      <c r="M181" s="167">
        <f t="shared" si="12"/>
        <v>2.9182616920744552E-2</v>
      </c>
      <c r="N181" s="167">
        <f t="shared" si="13"/>
        <v>0.17082920394576728</v>
      </c>
      <c r="O181" s="172">
        <f t="shared" si="14"/>
        <v>585.38000347848458</v>
      </c>
      <c r="Q181" s="170" t="s">
        <v>140</v>
      </c>
      <c r="R181" s="174">
        <f t="shared" si="15"/>
        <v>251.71340149574837</v>
      </c>
      <c r="S181" s="167">
        <f t="shared" si="16"/>
        <v>2.9182616920744552E-2</v>
      </c>
      <c r="T181" s="167">
        <f t="shared" si="17"/>
        <v>0.17082920394576728</v>
      </c>
      <c r="U181" s="172">
        <f t="shared" si="18"/>
        <v>585.38000347848458</v>
      </c>
      <c r="V181" s="175"/>
    </row>
    <row r="182" spans="2:22" ht="13" x14ac:dyDescent="0.3">
      <c r="B182" s="358">
        <f t="shared" si="19"/>
        <v>38.373822663338572</v>
      </c>
      <c r="C182" s="353">
        <v>64</v>
      </c>
      <c r="D182" s="151">
        <f t="shared" si="6"/>
        <v>0.46373722776127851</v>
      </c>
      <c r="E182" s="151">
        <f t="shared" si="7"/>
        <v>0.92747445552255703</v>
      </c>
      <c r="F182" s="152" t="s">
        <v>139</v>
      </c>
      <c r="G182" s="151">
        <f t="shared" si="8"/>
        <v>1.5214475976419901</v>
      </c>
      <c r="H182" s="151">
        <f t="shared" si="9"/>
        <v>3.0428951952839802</v>
      </c>
      <c r="I182" s="153" t="s">
        <v>139</v>
      </c>
      <c r="J182" s="60" t="s">
        <v>140</v>
      </c>
      <c r="K182" s="157">
        <f t="shared" si="10"/>
        <v>-8.4785524023580106</v>
      </c>
      <c r="L182" s="151">
        <f t="shared" si="11"/>
        <v>1.5214475976419894</v>
      </c>
      <c r="M182" s="151">
        <f t="shared" si="12"/>
        <v>2.3148027923705829E-2</v>
      </c>
      <c r="N182" s="151">
        <f t="shared" si="13"/>
        <v>0.152144759764199</v>
      </c>
      <c r="O182" s="158">
        <f t="shared" si="14"/>
        <v>657.26877583549162</v>
      </c>
      <c r="Q182" s="60" t="s">
        <v>140</v>
      </c>
      <c r="R182" s="165">
        <f t="shared" si="15"/>
        <v>282.62557360926127</v>
      </c>
      <c r="S182" s="151">
        <f t="shared" si="16"/>
        <v>2.3148027923705829E-2</v>
      </c>
      <c r="T182" s="151">
        <f t="shared" si="17"/>
        <v>0.152144759764199</v>
      </c>
      <c r="U182" s="158">
        <f t="shared" si="18"/>
        <v>657.2687758354914</v>
      </c>
      <c r="V182" s="65"/>
    </row>
    <row r="183" spans="2:22" s="173" customFormat="1" x14ac:dyDescent="0.25">
      <c r="B183" s="357">
        <f t="shared" si="19"/>
        <v>40.645016046760389</v>
      </c>
      <c r="C183" s="354">
        <v>71.8</v>
      </c>
      <c r="D183" s="167">
        <f>E183/2</f>
        <v>0.41335908881228167</v>
      </c>
      <c r="E183" s="167">
        <f>POWER($J$10,2)/(C183*($J$16/($J$73*10)))/1000</f>
        <v>0.82671817762456334</v>
      </c>
      <c r="F183" s="168" t="s">
        <v>139</v>
      </c>
      <c r="G183" s="167">
        <f>D183*1000/25.4/12</f>
        <v>1.3561649895416066</v>
      </c>
      <c r="H183" s="167">
        <f>E183*1000/25.4/12</f>
        <v>2.7123299790832132</v>
      </c>
      <c r="I183" s="169" t="s">
        <v>139</v>
      </c>
      <c r="J183" s="170" t="s">
        <v>140</v>
      </c>
      <c r="K183" s="171">
        <f>G183-$P$139</f>
        <v>-8.6438350104583925</v>
      </c>
      <c r="L183" s="167">
        <f t="shared" si="11"/>
        <v>1.3561649895416075</v>
      </c>
      <c r="M183" s="167">
        <f>(G183/$P$139)^2</f>
        <v>1.8391834788583861E-2</v>
      </c>
      <c r="N183" s="167">
        <f>G183/$P$139</f>
        <v>0.13561649895416067</v>
      </c>
      <c r="O183" s="172">
        <f>100/(L183/$P$139)</f>
        <v>737.3734078904414</v>
      </c>
      <c r="Q183" s="170" t="s">
        <v>140</v>
      </c>
      <c r="R183" s="174">
        <f t="shared" si="15"/>
        <v>317.07056539288999</v>
      </c>
      <c r="S183" s="167">
        <f>(G183/$W$139)^2</f>
        <v>1.8391834788583861E-2</v>
      </c>
      <c r="T183" s="167">
        <f>G183/$W$139</f>
        <v>0.13561649895416067</v>
      </c>
      <c r="U183" s="172">
        <f t="shared" si="18"/>
        <v>737.37340789044185</v>
      </c>
      <c r="V183" s="175"/>
    </row>
    <row r="184" spans="2:22" s="173" customFormat="1" x14ac:dyDescent="0.25">
      <c r="B184" s="357">
        <f t="shared" si="19"/>
        <v>43.063824621003484</v>
      </c>
      <c r="C184" s="354">
        <v>80.599999999999994</v>
      </c>
      <c r="D184" s="167">
        <f>E184/2</f>
        <v>0.36822807167148669</v>
      </c>
      <c r="E184" s="167">
        <f>POWER($J$10,2)/(C184*($J$16/($J$73*10)))/1000</f>
        <v>0.73645614334297338</v>
      </c>
      <c r="F184" s="168" t="s">
        <v>139</v>
      </c>
      <c r="G184" s="167">
        <f>D184*1000/25.4/12</f>
        <v>1.2080973480035653</v>
      </c>
      <c r="H184" s="167">
        <f>E184*1000/25.4/12</f>
        <v>2.4161946960071305</v>
      </c>
      <c r="I184" s="169" t="s">
        <v>139</v>
      </c>
      <c r="J184" s="170" t="s">
        <v>140</v>
      </c>
      <c r="K184" s="171">
        <f>G184-$P$139</f>
        <v>-8.7919026519964341</v>
      </c>
      <c r="L184" s="167">
        <f t="shared" si="11"/>
        <v>1.2080973480035659</v>
      </c>
      <c r="M184" s="167">
        <f>(G184/$P$139)^2</f>
        <v>1.4594992022532477E-2</v>
      </c>
      <c r="N184" s="167">
        <f>G184/$P$139</f>
        <v>0.12080973480035653</v>
      </c>
      <c r="O184" s="172">
        <f>100/(L184/$P$139)</f>
        <v>827.74786456782147</v>
      </c>
      <c r="Q184" s="170" t="s">
        <v>140</v>
      </c>
      <c r="R184" s="174">
        <f t="shared" si="15"/>
        <v>355.93158176416341</v>
      </c>
      <c r="S184" s="167">
        <f>(G184/$W$139)^2</f>
        <v>1.4594992022532477E-2</v>
      </c>
      <c r="T184" s="167">
        <f>G184/$W$139</f>
        <v>0.12080973480035653</v>
      </c>
      <c r="U184" s="172">
        <f t="shared" si="18"/>
        <v>827.74786456782192</v>
      </c>
      <c r="V184" s="175"/>
    </row>
    <row r="185" spans="2:22" ht="13" x14ac:dyDescent="0.3">
      <c r="B185" s="358">
        <f t="shared" si="19"/>
        <v>45.634422941094897</v>
      </c>
      <c r="C185" s="353">
        <f>SQRT(8192)</f>
        <v>90.509667991878089</v>
      </c>
      <c r="D185" s="151">
        <f t="shared" si="6"/>
        <v>0.32791173843865051</v>
      </c>
      <c r="E185" s="151">
        <f t="shared" si="7"/>
        <v>0.65582347687730103</v>
      </c>
      <c r="F185" s="152" t="s">
        <v>139</v>
      </c>
      <c r="G185" s="151">
        <f t="shared" si="8"/>
        <v>1.0758259135126329</v>
      </c>
      <c r="H185" s="151">
        <f t="shared" si="9"/>
        <v>2.1516518270252658</v>
      </c>
      <c r="I185" s="153" t="s">
        <v>139</v>
      </c>
      <c r="J185" s="60" t="s">
        <v>140</v>
      </c>
      <c r="K185" s="157">
        <f t="shared" si="10"/>
        <v>-8.9241740864873673</v>
      </c>
      <c r="L185" s="151">
        <f t="shared" si="11"/>
        <v>1.0758259135126327</v>
      </c>
      <c r="M185" s="151">
        <f t="shared" si="12"/>
        <v>1.1574013961852911E-2</v>
      </c>
      <c r="N185" s="151">
        <f t="shared" si="13"/>
        <v>0.10758259135126329</v>
      </c>
      <c r="O185" s="158">
        <f t="shared" si="14"/>
        <v>929.51841691091374</v>
      </c>
      <c r="Q185" s="60" t="s">
        <v>140</v>
      </c>
      <c r="R185" s="165">
        <f t="shared" si="15"/>
        <v>399.69291927169286</v>
      </c>
      <c r="S185" s="151">
        <f t="shared" si="16"/>
        <v>1.1574013961852911E-2</v>
      </c>
      <c r="T185" s="151">
        <f t="shared" si="17"/>
        <v>0.10758259135126329</v>
      </c>
      <c r="U185" s="158">
        <f t="shared" si="18"/>
        <v>929.51841691091363</v>
      </c>
      <c r="V185" s="65"/>
    </row>
    <row r="186" spans="2:22" s="173" customFormat="1" x14ac:dyDescent="0.25">
      <c r="B186" s="357">
        <f t="shared" si="19"/>
        <v>48.349493761086102</v>
      </c>
      <c r="C186" s="354">
        <v>101.6</v>
      </c>
      <c r="D186" s="167">
        <f t="shared" si="6"/>
        <v>0.29211793874726211</v>
      </c>
      <c r="E186" s="167">
        <f t="shared" si="7"/>
        <v>0.58423587749452421</v>
      </c>
      <c r="F186" s="168" t="s">
        <v>139</v>
      </c>
      <c r="G186" s="167">
        <f t="shared" si="8"/>
        <v>0.9583921874910174</v>
      </c>
      <c r="H186" s="167">
        <f t="shared" si="9"/>
        <v>1.9167843749820348</v>
      </c>
      <c r="I186" s="169" t="s">
        <v>139</v>
      </c>
      <c r="J186" s="170" t="s">
        <v>140</v>
      </c>
      <c r="K186" s="171">
        <f t="shared" si="10"/>
        <v>-9.0416078125089818</v>
      </c>
      <c r="L186" s="167">
        <f t="shared" si="11"/>
        <v>0.95839218749101818</v>
      </c>
      <c r="M186" s="167">
        <f t="shared" si="12"/>
        <v>9.1851558504381751E-3</v>
      </c>
      <c r="N186" s="167">
        <f t="shared" si="13"/>
        <v>9.5839218749101743E-2</v>
      </c>
      <c r="O186" s="172">
        <f t="shared" si="14"/>
        <v>1043.4141816388417</v>
      </c>
      <c r="Q186" s="170" t="s">
        <v>140</v>
      </c>
      <c r="R186" s="174">
        <f t="shared" si="15"/>
        <v>448.66809810470227</v>
      </c>
      <c r="S186" s="167">
        <f t="shared" si="16"/>
        <v>9.1851558504381751E-3</v>
      </c>
      <c r="T186" s="167">
        <f t="shared" si="17"/>
        <v>9.5839218749101743E-2</v>
      </c>
      <c r="U186" s="172">
        <f t="shared" si="18"/>
        <v>1043.4141816388424</v>
      </c>
      <c r="V186" s="175"/>
    </row>
    <row r="187" spans="2:22" s="173" customFormat="1" x14ac:dyDescent="0.25">
      <c r="B187" s="357">
        <f t="shared" si="19"/>
        <v>51.215038425754805</v>
      </c>
      <c r="C187" s="354">
        <v>114</v>
      </c>
      <c r="D187" s="167">
        <f t="shared" si="6"/>
        <v>0.26034370681334934</v>
      </c>
      <c r="E187" s="167">
        <f t="shared" si="7"/>
        <v>0.52068741362669868</v>
      </c>
      <c r="F187" s="168" t="s">
        <v>139</v>
      </c>
      <c r="G187" s="167">
        <f t="shared" si="8"/>
        <v>0.85414601972883641</v>
      </c>
      <c r="H187" s="167">
        <f t="shared" si="9"/>
        <v>1.7082920394576728</v>
      </c>
      <c r="I187" s="169" t="s">
        <v>139</v>
      </c>
      <c r="J187" s="170" t="s">
        <v>140</v>
      </c>
      <c r="K187" s="171">
        <f t="shared" si="10"/>
        <v>-9.1458539802711627</v>
      </c>
      <c r="L187" s="167">
        <f t="shared" si="11"/>
        <v>0.8541460197288373</v>
      </c>
      <c r="M187" s="167">
        <f t="shared" si="12"/>
        <v>7.2956542301861379E-3</v>
      </c>
      <c r="N187" s="167">
        <f t="shared" si="13"/>
        <v>8.5414601972883641E-2</v>
      </c>
      <c r="O187" s="172">
        <f t="shared" si="14"/>
        <v>1170.760006956968</v>
      </c>
      <c r="Q187" s="170" t="s">
        <v>140</v>
      </c>
      <c r="R187" s="174">
        <f t="shared" si="15"/>
        <v>503.42680299149674</v>
      </c>
      <c r="S187" s="167">
        <f t="shared" si="16"/>
        <v>7.2956542301861379E-3</v>
      </c>
      <c r="T187" s="167">
        <f t="shared" si="17"/>
        <v>8.5414601972883641E-2</v>
      </c>
      <c r="U187" s="172">
        <f t="shared" si="18"/>
        <v>1170.7600069569692</v>
      </c>
      <c r="V187" s="175"/>
    </row>
    <row r="188" spans="2:22" ht="13.5" thickBot="1" x14ac:dyDescent="0.35">
      <c r="B188" s="359">
        <f t="shared" si="19"/>
        <v>54.268780450593447</v>
      </c>
      <c r="C188" s="355">
        <v>128</v>
      </c>
      <c r="D188" s="159">
        <f t="shared" si="6"/>
        <v>0.23186861388063926</v>
      </c>
      <c r="E188" s="159">
        <f t="shared" si="7"/>
        <v>0.46373722776127851</v>
      </c>
      <c r="F188" s="160" t="s">
        <v>139</v>
      </c>
      <c r="G188" s="159">
        <f t="shared" si="8"/>
        <v>0.76072379882099506</v>
      </c>
      <c r="H188" s="159">
        <f t="shared" si="9"/>
        <v>1.5214475976419901</v>
      </c>
      <c r="I188" s="161" t="s">
        <v>139</v>
      </c>
      <c r="J188" s="60" t="s">
        <v>140</v>
      </c>
      <c r="K188" s="162">
        <f t="shared" si="10"/>
        <v>-9.2392762011790044</v>
      </c>
      <c r="L188" s="159">
        <f t="shared" si="11"/>
        <v>0.76072379882099561</v>
      </c>
      <c r="M188" s="159">
        <f t="shared" si="12"/>
        <v>5.7870069809264572E-3</v>
      </c>
      <c r="N188" s="159">
        <f t="shared" si="13"/>
        <v>7.60723798820995E-2</v>
      </c>
      <c r="O188" s="163">
        <f t="shared" si="14"/>
        <v>1314.5375516709819</v>
      </c>
      <c r="Q188" s="60" t="s">
        <v>140</v>
      </c>
      <c r="R188" s="166">
        <f t="shared" si="15"/>
        <v>565.25114721852253</v>
      </c>
      <c r="S188" s="159">
        <f t="shared" si="16"/>
        <v>5.7870069809264572E-3</v>
      </c>
      <c r="T188" s="159">
        <f t="shared" si="17"/>
        <v>7.60723798820995E-2</v>
      </c>
      <c r="U188" s="163">
        <f t="shared" si="18"/>
        <v>1314.5375516709828</v>
      </c>
      <c r="V188" s="65"/>
    </row>
    <row r="189" spans="2:22" x14ac:dyDescent="0.25">
      <c r="F189" s="1"/>
    </row>
    <row r="190" spans="2:22" ht="13" thickBot="1" x14ac:dyDescent="0.3">
      <c r="F190" s="1"/>
    </row>
    <row r="191" spans="2:22" ht="13.5" thickBot="1" x14ac:dyDescent="0.35">
      <c r="C191" s="94" t="s">
        <v>141</v>
      </c>
      <c r="D191" s="95"/>
      <c r="E191" s="95"/>
      <c r="F191" s="95"/>
      <c r="G191" s="95"/>
      <c r="H191" s="95"/>
      <c r="I191" s="51">
        <v>1</v>
      </c>
      <c r="J191" s="8"/>
    </row>
    <row r="192" spans="2:22" ht="13.5" thickBot="1" x14ac:dyDescent="0.35">
      <c r="C192" s="98" t="s">
        <v>142</v>
      </c>
      <c r="D192" s="99"/>
      <c r="E192" s="100"/>
      <c r="F192" s="41" t="s">
        <v>143</v>
      </c>
      <c r="G192" s="42"/>
      <c r="H192" s="51">
        <v>0</v>
      </c>
      <c r="I192" s="50">
        <f>H192*12*25.4/1000</f>
        <v>0</v>
      </c>
    </row>
    <row r="193" spans="2:11" ht="13.5" thickBot="1" x14ac:dyDescent="0.35">
      <c r="I193" s="52">
        <f>I191*1000/25.4/12</f>
        <v>3.2808398950131235</v>
      </c>
    </row>
    <row r="194" spans="2:11" ht="13.5" thickBot="1" x14ac:dyDescent="0.35">
      <c r="C194" s="24"/>
      <c r="D194" s="25"/>
      <c r="E194" s="26"/>
      <c r="F194" s="26"/>
      <c r="G194" s="27"/>
      <c r="H194" s="138" t="s">
        <v>144</v>
      </c>
      <c r="I194" s="137">
        <f>I191</f>
        <v>1</v>
      </c>
    </row>
    <row r="195" spans="2:11" ht="13.5" thickBot="1" x14ac:dyDescent="0.35">
      <c r="C195" s="33" t="s">
        <v>91</v>
      </c>
      <c r="D195" s="34"/>
      <c r="E195" s="56" t="s">
        <v>92</v>
      </c>
      <c r="F195" s="134">
        <f>J10</f>
        <v>43</v>
      </c>
      <c r="G195" s="76"/>
      <c r="H195" s="77" t="s">
        <v>145</v>
      </c>
      <c r="I195" s="268">
        <f>J16</f>
        <v>70.709999999999994</v>
      </c>
    </row>
    <row r="196" spans="2:11" ht="13.5" thickBot="1" x14ac:dyDescent="0.35">
      <c r="C196" s="33"/>
      <c r="D196" s="34"/>
      <c r="E196" s="58" t="s">
        <v>95</v>
      </c>
      <c r="F196" s="271">
        <f>J73</f>
        <v>227</v>
      </c>
      <c r="G196" s="35"/>
      <c r="H196" s="56" t="s">
        <v>96</v>
      </c>
      <c r="I196" s="269">
        <f>J74</f>
        <v>3.1149779735682819E-2</v>
      </c>
    </row>
    <row r="197" spans="2:11" ht="13.5" thickBot="1" x14ac:dyDescent="0.35">
      <c r="C197" s="75"/>
      <c r="D197" s="78"/>
      <c r="E197" s="78" t="s">
        <v>156</v>
      </c>
      <c r="F197" s="272">
        <f>J76</f>
        <v>7.63</v>
      </c>
      <c r="G197" s="133" t="s">
        <v>98</v>
      </c>
      <c r="H197" s="135">
        <f>I59</f>
        <v>8.2799999999999994</v>
      </c>
      <c r="I197" s="134">
        <f>J59</f>
        <v>8.2799999999999994</v>
      </c>
    </row>
    <row r="198" spans="2:11" ht="13.5" thickBot="1" x14ac:dyDescent="0.35">
      <c r="C198" s="75"/>
      <c r="D198" s="78"/>
      <c r="E198" s="136" t="s">
        <v>157</v>
      </c>
      <c r="F198" s="272">
        <f>J61</f>
        <v>7.85</v>
      </c>
      <c r="G198" s="132"/>
      <c r="H198" s="122" t="s">
        <v>104</v>
      </c>
      <c r="I198" s="270">
        <f>J84</f>
        <v>6.46</v>
      </c>
    </row>
    <row r="199" spans="2:11" ht="13.5" thickBot="1" x14ac:dyDescent="0.35">
      <c r="B199" s="360" t="s">
        <v>219</v>
      </c>
      <c r="C199" s="364"/>
      <c r="D199" s="127"/>
      <c r="E199" s="128"/>
      <c r="F199" s="128"/>
      <c r="G199" s="129"/>
      <c r="H199" s="130" t="s">
        <v>188</v>
      </c>
      <c r="I199" s="131">
        <f>J91</f>
        <v>23.008610116314944</v>
      </c>
    </row>
    <row r="200" spans="2:11" ht="13" x14ac:dyDescent="0.3">
      <c r="B200" s="32" t="s">
        <v>218</v>
      </c>
      <c r="C200" s="32" t="s">
        <v>209</v>
      </c>
      <c r="D200" s="345" t="s">
        <v>118</v>
      </c>
      <c r="E200" s="32" t="s">
        <v>106</v>
      </c>
      <c r="F200" s="36" t="s">
        <v>120</v>
      </c>
      <c r="G200" s="32" t="s">
        <v>118</v>
      </c>
      <c r="H200" s="32" t="s">
        <v>106</v>
      </c>
      <c r="I200" s="32" t="s">
        <v>120</v>
      </c>
    </row>
    <row r="201" spans="2:11" ht="15" x14ac:dyDescent="0.4">
      <c r="B201" s="362" t="s">
        <v>207</v>
      </c>
      <c r="C201" s="37" t="s">
        <v>217</v>
      </c>
      <c r="D201" s="346" t="s">
        <v>127</v>
      </c>
      <c r="E201" s="37" t="s">
        <v>146</v>
      </c>
      <c r="F201" s="38" t="s">
        <v>127</v>
      </c>
      <c r="G201" s="37" t="s">
        <v>127</v>
      </c>
      <c r="H201" s="37" t="s">
        <v>146</v>
      </c>
      <c r="I201" s="37" t="s">
        <v>127</v>
      </c>
    </row>
    <row r="202" spans="2:11" ht="13.5" thickBot="1" x14ac:dyDescent="0.35">
      <c r="B202" s="363" t="s">
        <v>212</v>
      </c>
      <c r="C202" s="39" t="s">
        <v>126</v>
      </c>
      <c r="D202" s="347" t="s">
        <v>133</v>
      </c>
      <c r="E202" s="39" t="s">
        <v>133</v>
      </c>
      <c r="F202" s="40" t="s">
        <v>133</v>
      </c>
      <c r="G202" s="39" t="s">
        <v>134</v>
      </c>
      <c r="H202" s="39" t="s">
        <v>134</v>
      </c>
      <c r="I202" s="39" t="s">
        <v>134</v>
      </c>
    </row>
    <row r="203" spans="2:11" ht="13" x14ac:dyDescent="0.3">
      <c r="B203" s="356">
        <f>SQRT($J$74*738.644*C203)</f>
        <v>4.7967278329173215</v>
      </c>
      <c r="C203" s="365">
        <v>1</v>
      </c>
      <c r="D203" s="151">
        <f t="shared" ref="D203:D220" si="20">(J203*$I$191)/(J203+$I$191)</f>
        <v>0.9834322881764973</v>
      </c>
      <c r="E203" s="151">
        <f>I191</f>
        <v>1</v>
      </c>
      <c r="F203" s="152">
        <f t="shared" ref="F203:F220" si="21">IF($I$191&lt;J203,ROUND((J203*$I$191)/(J203-$I$191),2),"Infinity")</f>
        <v>1.02</v>
      </c>
      <c r="G203" s="151">
        <f t="shared" ref="G203:G220" si="22">D203*1000/25.4/12</f>
        <v>3.2264838850934954</v>
      </c>
      <c r="H203" s="151">
        <f t="shared" ref="H203:H220" si="23">E203*1000/25.4/12</f>
        <v>3.2808398950131235</v>
      </c>
      <c r="I203" s="153">
        <f t="shared" ref="I203:I220" si="24">IF($I$193&lt;K203,ROUND((K203*$I$193)/(K203-$I$193),2),"Infinity")</f>
        <v>3.34</v>
      </c>
      <c r="J203" s="55">
        <f t="shared" ref="J203:J220" si="25">$J$10^2/(C203*($J$16/($J$73*10)))/1000</f>
        <v>59.35836515344365</v>
      </c>
      <c r="K203" s="55">
        <f t="shared" ref="K203:K231" si="26">J203*1000/25.4/12</f>
        <v>194.74529249817473</v>
      </c>
    </row>
    <row r="204" spans="2:11" ht="13" x14ac:dyDescent="0.3">
      <c r="B204" s="357">
        <f>SQRT($J$74*738.644*C204)</f>
        <v>5.030850593427723</v>
      </c>
      <c r="C204" s="150">
        <v>1.1000000000000001</v>
      </c>
      <c r="D204" s="167">
        <f t="shared" si="20"/>
        <v>0.98180566085093113</v>
      </c>
      <c r="E204" s="167">
        <f>I191</f>
        <v>1</v>
      </c>
      <c r="F204" s="168">
        <f t="shared" si="21"/>
        <v>1.02</v>
      </c>
      <c r="G204" s="167">
        <f t="shared" si="22"/>
        <v>3.2211471812694588</v>
      </c>
      <c r="H204" s="167">
        <f t="shared" si="23"/>
        <v>3.2808398950131235</v>
      </c>
      <c r="I204" s="169">
        <f t="shared" si="24"/>
        <v>3.34</v>
      </c>
      <c r="J204" s="55">
        <f t="shared" si="25"/>
        <v>53.96215013949422</v>
      </c>
      <c r="K204" s="55">
        <f t="shared" si="26"/>
        <v>177.04117499834061</v>
      </c>
    </row>
    <row r="205" spans="2:11" ht="13" x14ac:dyDescent="0.3">
      <c r="B205" s="357">
        <f t="shared" ref="B205:B245" si="27">SQRT($J$74*738.644*C205)</f>
        <v>5.4691111959813732</v>
      </c>
      <c r="C205" s="150">
        <v>1.3</v>
      </c>
      <c r="D205" s="167">
        <f t="shared" si="20"/>
        <v>0.97856849592448669</v>
      </c>
      <c r="E205" s="167">
        <f>I191</f>
        <v>1</v>
      </c>
      <c r="F205" s="168">
        <f t="shared" si="21"/>
        <v>1.02</v>
      </c>
      <c r="G205" s="167">
        <f t="shared" si="22"/>
        <v>3.2105265614320433</v>
      </c>
      <c r="H205" s="167">
        <f t="shared" si="23"/>
        <v>3.2808398950131235</v>
      </c>
      <c r="I205" s="169">
        <f t="shared" si="24"/>
        <v>3.35</v>
      </c>
      <c r="J205" s="55">
        <f t="shared" si="25"/>
        <v>45.660280887264342</v>
      </c>
      <c r="K205" s="55">
        <f t="shared" si="26"/>
        <v>149.80407115244208</v>
      </c>
    </row>
    <row r="206" spans="2:11" ht="13" x14ac:dyDescent="0.3">
      <c r="B206" s="358">
        <f t="shared" si="27"/>
        <v>5.7043028676368621</v>
      </c>
      <c r="C206" s="59">
        <f>SQRT(2)</f>
        <v>1.4142135623730951</v>
      </c>
      <c r="D206" s="151">
        <f t="shared" si="20"/>
        <v>0.97672941329367957</v>
      </c>
      <c r="E206" s="151">
        <f>I191</f>
        <v>1</v>
      </c>
      <c r="F206" s="152">
        <f t="shared" si="21"/>
        <v>1.02</v>
      </c>
      <c r="G206" s="151">
        <f t="shared" si="22"/>
        <v>3.2044928257666658</v>
      </c>
      <c r="H206" s="151">
        <f t="shared" si="23"/>
        <v>3.2808398950131235</v>
      </c>
      <c r="I206" s="153">
        <f t="shared" si="24"/>
        <v>3.36</v>
      </c>
      <c r="J206" s="55">
        <f t="shared" si="25"/>
        <v>41.972702520147266</v>
      </c>
      <c r="K206" s="55">
        <f t="shared" si="26"/>
        <v>137.70571692961701</v>
      </c>
    </row>
    <row r="207" spans="2:11" ht="13" x14ac:dyDescent="0.3">
      <c r="B207" s="357">
        <f t="shared" si="27"/>
        <v>6.0674341071769309</v>
      </c>
      <c r="C207" s="150">
        <v>1.6</v>
      </c>
      <c r="D207" s="167">
        <f t="shared" si="20"/>
        <v>0.97375257692734218</v>
      </c>
      <c r="E207" s="167">
        <f>I191</f>
        <v>1</v>
      </c>
      <c r="F207" s="168">
        <f t="shared" si="21"/>
        <v>1.03</v>
      </c>
      <c r="G207" s="167">
        <f t="shared" si="22"/>
        <v>3.1947263022550598</v>
      </c>
      <c r="H207" s="167">
        <f t="shared" si="23"/>
        <v>3.2808398950131235</v>
      </c>
      <c r="I207" s="169">
        <f t="shared" si="24"/>
        <v>3.37</v>
      </c>
      <c r="J207" s="55">
        <f t="shared" si="25"/>
        <v>37.098978220902282</v>
      </c>
      <c r="K207" s="55">
        <f t="shared" si="26"/>
        <v>121.7158078113592</v>
      </c>
    </row>
    <row r="208" spans="2:11" ht="13" x14ac:dyDescent="0.3">
      <c r="B208" s="357">
        <f t="shared" si="27"/>
        <v>6.4813393904050951</v>
      </c>
      <c r="C208" s="150">
        <f>SQRT(2*(1+(2/3)))</f>
        <v>1.8257418583505536</v>
      </c>
      <c r="D208" s="167">
        <f t="shared" si="20"/>
        <v>0.97015986752902006</v>
      </c>
      <c r="E208" s="167">
        <f>I191</f>
        <v>1</v>
      </c>
      <c r="F208" s="168">
        <f t="shared" si="21"/>
        <v>1.03</v>
      </c>
      <c r="G208" s="167">
        <f t="shared" si="22"/>
        <v>3.1829391979298562</v>
      </c>
      <c r="H208" s="167">
        <f t="shared" si="23"/>
        <v>3.2808398950131235</v>
      </c>
      <c r="I208" s="169">
        <f t="shared" si="24"/>
        <v>3.38</v>
      </c>
      <c r="J208" s="55">
        <f t="shared" si="25"/>
        <v>32.511915571169688</v>
      </c>
      <c r="K208" s="55">
        <f t="shared" si="26"/>
        <v>106.6663896691919</v>
      </c>
    </row>
    <row r="209" spans="2:11" ht="13" x14ac:dyDescent="0.3">
      <c r="B209" s="358">
        <f t="shared" si="27"/>
        <v>6.7835975563241808</v>
      </c>
      <c r="C209" s="59">
        <v>2</v>
      </c>
      <c r="D209" s="151">
        <f t="shared" si="20"/>
        <v>0.96740460742396828</v>
      </c>
      <c r="E209" s="151">
        <f>I191</f>
        <v>1</v>
      </c>
      <c r="F209" s="152">
        <f t="shared" si="21"/>
        <v>1.03</v>
      </c>
      <c r="G209" s="151">
        <f t="shared" si="22"/>
        <v>3.1738996306560643</v>
      </c>
      <c r="H209" s="151">
        <f t="shared" si="23"/>
        <v>3.2808398950131235</v>
      </c>
      <c r="I209" s="153">
        <f t="shared" si="24"/>
        <v>3.4</v>
      </c>
      <c r="J209" s="55">
        <f t="shared" si="25"/>
        <v>29.679182576721825</v>
      </c>
      <c r="K209" s="55">
        <f t="shared" si="26"/>
        <v>97.372646249087367</v>
      </c>
    </row>
    <row r="210" spans="2:11" ht="13" x14ac:dyDescent="0.3">
      <c r="B210" s="357">
        <f t="shared" si="27"/>
        <v>7.1146971394982197</v>
      </c>
      <c r="C210" s="150">
        <v>2.2000000000000002</v>
      </c>
      <c r="D210" s="167">
        <f t="shared" si="20"/>
        <v>0.96426155901775223</v>
      </c>
      <c r="E210" s="167">
        <f>I191</f>
        <v>1</v>
      </c>
      <c r="F210" s="168">
        <f t="shared" si="21"/>
        <v>1.04</v>
      </c>
      <c r="G210" s="167">
        <f t="shared" si="22"/>
        <v>3.1635877920529931</v>
      </c>
      <c r="H210" s="167">
        <f t="shared" si="23"/>
        <v>3.2808398950131235</v>
      </c>
      <c r="I210" s="169">
        <f t="shared" si="24"/>
        <v>3.41</v>
      </c>
      <c r="J210" s="55">
        <f t="shared" si="25"/>
        <v>26.98107506974711</v>
      </c>
      <c r="K210" s="55">
        <f t="shared" si="26"/>
        <v>88.520587499170304</v>
      </c>
    </row>
    <row r="211" spans="2:11" ht="13" x14ac:dyDescent="0.3">
      <c r="B211" s="357">
        <f t="shared" si="27"/>
        <v>7.5842926339711632</v>
      </c>
      <c r="C211" s="150">
        <v>2.5</v>
      </c>
      <c r="D211" s="167">
        <f t="shared" si="20"/>
        <v>0.95958509420999749</v>
      </c>
      <c r="E211" s="167">
        <f>I191</f>
        <v>1</v>
      </c>
      <c r="F211" s="168">
        <f t="shared" si="21"/>
        <v>1.04</v>
      </c>
      <c r="G211" s="167">
        <f t="shared" si="22"/>
        <v>3.1482450597440863</v>
      </c>
      <c r="H211" s="167">
        <f t="shared" si="23"/>
        <v>3.2808398950131235</v>
      </c>
      <c r="I211" s="169">
        <f t="shared" si="24"/>
        <v>3.43</v>
      </c>
      <c r="J211" s="55">
        <f t="shared" si="25"/>
        <v>23.743346061377462</v>
      </c>
      <c r="K211" s="55">
        <f t="shared" si="26"/>
        <v>77.898116999269902</v>
      </c>
    </row>
    <row r="212" spans="2:11" ht="13" x14ac:dyDescent="0.3">
      <c r="B212" s="358">
        <f t="shared" si="27"/>
        <v>8.0671024792957873</v>
      </c>
      <c r="C212" s="59">
        <f>SQRT(8)</f>
        <v>2.8284271247461903</v>
      </c>
      <c r="D212" s="151">
        <f t="shared" si="20"/>
        <v>0.95451723716358694</v>
      </c>
      <c r="E212" s="151">
        <f>I191</f>
        <v>1</v>
      </c>
      <c r="F212" s="152">
        <f t="shared" si="21"/>
        <v>1.05</v>
      </c>
      <c r="G212" s="151">
        <f t="shared" si="22"/>
        <v>3.1316182321639996</v>
      </c>
      <c r="H212" s="151">
        <f t="shared" si="23"/>
        <v>3.2808398950131235</v>
      </c>
      <c r="I212" s="153">
        <f t="shared" si="24"/>
        <v>3.44</v>
      </c>
      <c r="J212" s="55">
        <f t="shared" si="25"/>
        <v>20.986351260073633</v>
      </c>
      <c r="K212" s="55">
        <f t="shared" si="26"/>
        <v>68.852858464808506</v>
      </c>
    </row>
    <row r="213" spans="2:11" ht="13" x14ac:dyDescent="0.3">
      <c r="B213" s="357">
        <f t="shared" si="27"/>
        <v>8.5806476031747074</v>
      </c>
      <c r="C213" s="150">
        <v>3.2</v>
      </c>
      <c r="D213" s="167">
        <f t="shared" si="20"/>
        <v>0.94884776812579719</v>
      </c>
      <c r="E213" s="167">
        <f>I191</f>
        <v>1</v>
      </c>
      <c r="F213" s="168">
        <f t="shared" si="21"/>
        <v>1.06</v>
      </c>
      <c r="G213" s="167">
        <f t="shared" si="22"/>
        <v>3.1130176119612769</v>
      </c>
      <c r="H213" s="167">
        <f t="shared" si="23"/>
        <v>3.2808398950131235</v>
      </c>
      <c r="I213" s="169">
        <f t="shared" si="24"/>
        <v>3.47</v>
      </c>
      <c r="J213" s="55">
        <f t="shared" si="25"/>
        <v>18.549489110451141</v>
      </c>
      <c r="K213" s="55">
        <f t="shared" si="26"/>
        <v>60.857903905679599</v>
      </c>
    </row>
    <row r="214" spans="2:11" ht="13" x14ac:dyDescent="0.3">
      <c r="B214" s="357">
        <f t="shared" si="27"/>
        <v>9.1011511607653972</v>
      </c>
      <c r="C214" s="150">
        <v>3.6</v>
      </c>
      <c r="D214" s="167">
        <f t="shared" si="20"/>
        <v>0.94281935385034232</v>
      </c>
      <c r="E214" s="167">
        <f>I191</f>
        <v>1</v>
      </c>
      <c r="F214" s="168">
        <f t="shared" si="21"/>
        <v>1.06</v>
      </c>
      <c r="G214" s="167">
        <f t="shared" si="22"/>
        <v>3.093239349902698</v>
      </c>
      <c r="H214" s="167">
        <f t="shared" si="23"/>
        <v>3.2808398950131235</v>
      </c>
      <c r="I214" s="169">
        <f t="shared" si="24"/>
        <v>3.49</v>
      </c>
      <c r="J214" s="55">
        <f t="shared" si="25"/>
        <v>16.488434764845458</v>
      </c>
      <c r="K214" s="55">
        <f t="shared" si="26"/>
        <v>54.095914582826303</v>
      </c>
    </row>
    <row r="215" spans="2:11" ht="13" x14ac:dyDescent="0.3">
      <c r="B215" s="358">
        <f t="shared" si="27"/>
        <v>9.593455665834643</v>
      </c>
      <c r="C215" s="59">
        <v>4</v>
      </c>
      <c r="D215" s="151">
        <f t="shared" si="20"/>
        <v>0.93686705788079205</v>
      </c>
      <c r="E215" s="151">
        <f>I191</f>
        <v>1</v>
      </c>
      <c r="F215" s="152">
        <f t="shared" si="21"/>
        <v>1.07</v>
      </c>
      <c r="G215" s="151">
        <f t="shared" si="22"/>
        <v>3.0737108198188712</v>
      </c>
      <c r="H215" s="151">
        <f t="shared" si="23"/>
        <v>3.2808398950131235</v>
      </c>
      <c r="I215" s="153">
        <f t="shared" si="24"/>
        <v>3.52</v>
      </c>
      <c r="J215" s="55">
        <f t="shared" si="25"/>
        <v>14.839591288360912</v>
      </c>
      <c r="K215" s="55">
        <f t="shared" si="26"/>
        <v>48.686323124543684</v>
      </c>
    </row>
    <row r="216" spans="2:11" ht="13" x14ac:dyDescent="0.3">
      <c r="B216" s="357">
        <f t="shared" si="27"/>
        <v>10.175396334486273</v>
      </c>
      <c r="C216" s="150">
        <v>4.5</v>
      </c>
      <c r="D216" s="167">
        <f t="shared" si="20"/>
        <v>0.92953155018630584</v>
      </c>
      <c r="E216" s="167">
        <f>I191</f>
        <v>1</v>
      </c>
      <c r="F216" s="168">
        <f t="shared" si="21"/>
        <v>1.08</v>
      </c>
      <c r="G216" s="167">
        <f t="shared" si="22"/>
        <v>3.0496441935246259</v>
      </c>
      <c r="H216" s="167">
        <f t="shared" si="23"/>
        <v>3.2808398950131235</v>
      </c>
      <c r="I216" s="169">
        <f t="shared" si="24"/>
        <v>3.55</v>
      </c>
      <c r="J216" s="55">
        <f t="shared" si="25"/>
        <v>13.190747811876367</v>
      </c>
      <c r="K216" s="55">
        <f t="shared" si="26"/>
        <v>43.27673166626105</v>
      </c>
    </row>
    <row r="217" spans="2:11" ht="13" x14ac:dyDescent="0.3">
      <c r="B217" s="357">
        <f t="shared" si="27"/>
        <v>10.725809503968383</v>
      </c>
      <c r="C217" s="150">
        <v>5</v>
      </c>
      <c r="D217" s="167">
        <f t="shared" si="20"/>
        <v>0.92231002157871844</v>
      </c>
      <c r="E217" s="167">
        <f>I191</f>
        <v>1</v>
      </c>
      <c r="F217" s="168">
        <f t="shared" si="21"/>
        <v>1.0900000000000001</v>
      </c>
      <c r="G217" s="167">
        <f t="shared" si="22"/>
        <v>3.025951514365874</v>
      </c>
      <c r="H217" s="167">
        <f t="shared" si="23"/>
        <v>3.2808398950131235</v>
      </c>
      <c r="I217" s="169">
        <f t="shared" si="24"/>
        <v>3.58</v>
      </c>
      <c r="J217" s="55">
        <f t="shared" si="25"/>
        <v>11.871673030688731</v>
      </c>
      <c r="K217" s="55">
        <f t="shared" si="26"/>
        <v>38.949058499634951</v>
      </c>
    </row>
    <row r="218" spans="2:11" ht="13" x14ac:dyDescent="0.3">
      <c r="B218" s="358">
        <f t="shared" si="27"/>
        <v>11.408605735273724</v>
      </c>
      <c r="C218" s="59">
        <f>SQRT(32)</f>
        <v>5.6568542494923806</v>
      </c>
      <c r="D218" s="151">
        <f t="shared" si="20"/>
        <v>0.91299184557951485</v>
      </c>
      <c r="E218" s="151">
        <f>I191</f>
        <v>1</v>
      </c>
      <c r="F218" s="152">
        <f t="shared" si="21"/>
        <v>1.1100000000000001</v>
      </c>
      <c r="G218" s="151">
        <f t="shared" si="22"/>
        <v>2.9953800707989333</v>
      </c>
      <c r="H218" s="151">
        <f t="shared" si="23"/>
        <v>3.2808398950131235</v>
      </c>
      <c r="I218" s="153">
        <f t="shared" si="24"/>
        <v>3.63</v>
      </c>
      <c r="J218" s="55">
        <f t="shared" si="25"/>
        <v>10.493175630036816</v>
      </c>
      <c r="K218" s="55">
        <f t="shared" si="26"/>
        <v>34.426429232404253</v>
      </c>
    </row>
    <row r="219" spans="2:11" ht="13" x14ac:dyDescent="0.3">
      <c r="B219" s="357">
        <f t="shared" si="27"/>
        <v>12.039691307896033</v>
      </c>
      <c r="C219" s="150">
        <v>6.3</v>
      </c>
      <c r="D219" s="167">
        <f t="shared" si="20"/>
        <v>0.90404878365038643</v>
      </c>
      <c r="E219" s="167">
        <f>I191</f>
        <v>1</v>
      </c>
      <c r="F219" s="168">
        <f t="shared" si="21"/>
        <v>1.1200000000000001</v>
      </c>
      <c r="G219" s="167">
        <f t="shared" si="22"/>
        <v>2.9660393164382755</v>
      </c>
      <c r="H219" s="167">
        <f t="shared" si="23"/>
        <v>3.2808398950131235</v>
      </c>
      <c r="I219" s="169">
        <f t="shared" si="24"/>
        <v>3.67</v>
      </c>
      <c r="J219" s="55">
        <f t="shared" si="25"/>
        <v>9.4219627227688338</v>
      </c>
      <c r="K219" s="55">
        <f t="shared" si="26"/>
        <v>30.911951190186468</v>
      </c>
    </row>
    <row r="220" spans="2:11" ht="13" x14ac:dyDescent="0.3">
      <c r="B220" s="357">
        <f t="shared" si="27"/>
        <v>12.781277131487849</v>
      </c>
      <c r="C220" s="150">
        <v>7.1</v>
      </c>
      <c r="D220" s="167">
        <f t="shared" si="20"/>
        <v>0.89316619535242803</v>
      </c>
      <c r="E220" s="167">
        <f>I191</f>
        <v>1</v>
      </c>
      <c r="F220" s="168">
        <f t="shared" si="21"/>
        <v>1.1399999999999999</v>
      </c>
      <c r="G220" s="167">
        <f t="shared" si="22"/>
        <v>2.9303352865893313</v>
      </c>
      <c r="H220" s="167">
        <f t="shared" si="23"/>
        <v>3.2808398950131235</v>
      </c>
      <c r="I220" s="169">
        <f t="shared" si="24"/>
        <v>3.73</v>
      </c>
      <c r="J220" s="55">
        <f t="shared" si="25"/>
        <v>8.3603331202033306</v>
      </c>
      <c r="K220" s="55">
        <f t="shared" si="26"/>
        <v>27.428914436362636</v>
      </c>
    </row>
    <row r="221" spans="2:11" ht="13" x14ac:dyDescent="0.3">
      <c r="B221" s="358">
        <f t="shared" si="27"/>
        <v>13.567195112648362</v>
      </c>
      <c r="C221" s="59">
        <v>8</v>
      </c>
      <c r="D221" s="151">
        <f t="shared" ref="D221:D231" si="28">(J221*$I$191)/(J221+$I$191)</f>
        <v>0.88123227186740871</v>
      </c>
      <c r="E221" s="151">
        <f>I191</f>
        <v>1</v>
      </c>
      <c r="F221" s="152">
        <f t="shared" ref="F221:F231" si="29">IF($I$191&lt;J221,ROUND((J221*$I$191)/(J221-$I$191),2),"Infinity")</f>
        <v>1.1599999999999999</v>
      </c>
      <c r="G221" s="151">
        <f t="shared" ref="G221:G231" si="30">D221*1000/25.4/12</f>
        <v>2.8911819943156458</v>
      </c>
      <c r="H221" s="151">
        <f t="shared" ref="H221:H231" si="31">E221*1000/25.4/12</f>
        <v>3.2808398950131235</v>
      </c>
      <c r="I221" s="153">
        <f t="shared" ref="I221:I231" si="32">IF($I$193&lt;K221,ROUND((K221*$I$193)/(K221-$I$193),2),"Infinity")</f>
        <v>3.79</v>
      </c>
      <c r="J221" s="55">
        <f t="shared" ref="J221:J231" si="33">$J$10^2/(C221*($J$16/($J$73*10)))/1000</f>
        <v>7.4197956441804562</v>
      </c>
      <c r="K221" s="55">
        <f t="shared" si="26"/>
        <v>24.343161562271842</v>
      </c>
    </row>
    <row r="222" spans="2:11" ht="13" x14ac:dyDescent="0.3">
      <c r="B222" s="357">
        <f t="shared" si="27"/>
        <v>14.390183498751965</v>
      </c>
      <c r="C222" s="150">
        <v>9</v>
      </c>
      <c r="D222" s="167">
        <f t="shared" si="28"/>
        <v>0.86834091219417331</v>
      </c>
      <c r="E222" s="167">
        <f>I191</f>
        <v>1</v>
      </c>
      <c r="F222" s="168">
        <f t="shared" si="29"/>
        <v>1.18</v>
      </c>
      <c r="G222" s="167">
        <f t="shared" si="30"/>
        <v>2.848887507198731</v>
      </c>
      <c r="H222" s="167">
        <f t="shared" si="31"/>
        <v>3.2808398950131235</v>
      </c>
      <c r="I222" s="169">
        <f t="shared" si="32"/>
        <v>3.87</v>
      </c>
      <c r="J222" s="55">
        <f t="shared" si="33"/>
        <v>6.5953739059381835</v>
      </c>
      <c r="K222" s="55">
        <f t="shared" si="26"/>
        <v>21.638365833130525</v>
      </c>
    </row>
    <row r="223" spans="2:11" ht="13" x14ac:dyDescent="0.3">
      <c r="B223" s="357">
        <f t="shared" si="27"/>
        <v>15.244239529118708</v>
      </c>
      <c r="C223" s="150">
        <v>10.1</v>
      </c>
      <c r="D223" s="167">
        <f t="shared" si="28"/>
        <v>0.85458914879888648</v>
      </c>
      <c r="E223" s="167">
        <f>I191</f>
        <v>1</v>
      </c>
      <c r="F223" s="168">
        <f t="shared" si="29"/>
        <v>1.21</v>
      </c>
      <c r="G223" s="167">
        <f t="shared" si="30"/>
        <v>2.8037701732246934</v>
      </c>
      <c r="H223" s="167">
        <f t="shared" si="31"/>
        <v>3.2808398950131235</v>
      </c>
      <c r="I223" s="169">
        <f t="shared" si="32"/>
        <v>3.95</v>
      </c>
      <c r="J223" s="55">
        <f t="shared" si="33"/>
        <v>5.877065856776599</v>
      </c>
      <c r="K223" s="55">
        <f t="shared" si="26"/>
        <v>19.281712128532149</v>
      </c>
    </row>
    <row r="224" spans="2:11" ht="13" x14ac:dyDescent="0.3">
      <c r="B224" s="358">
        <f t="shared" si="27"/>
        <v>16.134204958591575</v>
      </c>
      <c r="C224" s="59">
        <f>SQRT(128)</f>
        <v>11.313708498984761</v>
      </c>
      <c r="D224" s="151">
        <f t="shared" si="28"/>
        <v>0.83991260034866677</v>
      </c>
      <c r="E224" s="151">
        <f>I191</f>
        <v>1</v>
      </c>
      <c r="F224" s="152">
        <f t="shared" si="29"/>
        <v>1.24</v>
      </c>
      <c r="G224" s="151">
        <f t="shared" si="30"/>
        <v>2.7556187675481194</v>
      </c>
      <c r="H224" s="151">
        <f t="shared" si="31"/>
        <v>3.2808398950131235</v>
      </c>
      <c r="I224" s="153">
        <f t="shared" si="32"/>
        <v>4.05</v>
      </c>
      <c r="J224" s="55">
        <f t="shared" si="33"/>
        <v>5.2465878150184082</v>
      </c>
      <c r="K224" s="55">
        <f t="shared" si="26"/>
        <v>17.213214616202126</v>
      </c>
    </row>
    <row r="225" spans="2:11" ht="13" x14ac:dyDescent="0.3">
      <c r="B225" s="357">
        <f t="shared" si="27"/>
        <v>17.094127452700327</v>
      </c>
      <c r="C225" s="150">
        <v>12.7</v>
      </c>
      <c r="D225" s="167">
        <f t="shared" si="28"/>
        <v>0.82375398091593999</v>
      </c>
      <c r="E225" s="167">
        <f>I191</f>
        <v>1</v>
      </c>
      <c r="F225" s="168">
        <f t="shared" si="29"/>
        <v>1.27</v>
      </c>
      <c r="G225" s="167">
        <f t="shared" si="30"/>
        <v>2.7026049242648953</v>
      </c>
      <c r="H225" s="167">
        <f t="shared" si="31"/>
        <v>3.2808398950131235</v>
      </c>
      <c r="I225" s="169">
        <f t="shared" si="32"/>
        <v>4.17</v>
      </c>
      <c r="J225" s="55">
        <f t="shared" si="33"/>
        <v>4.6738870199561937</v>
      </c>
      <c r="K225" s="55">
        <f t="shared" si="26"/>
        <v>15.334274999856278</v>
      </c>
    </row>
    <row r="226" spans="2:11" ht="13" x14ac:dyDescent="0.3">
      <c r="B226" s="357">
        <f t="shared" si="27"/>
        <v>18.138989773802095</v>
      </c>
      <c r="C226" s="150">
        <v>14.3</v>
      </c>
      <c r="D226" s="167">
        <f t="shared" si="28"/>
        <v>0.80586047531450744</v>
      </c>
      <c r="E226" s="167">
        <f>I191</f>
        <v>1</v>
      </c>
      <c r="F226" s="168">
        <f t="shared" si="29"/>
        <v>1.32</v>
      </c>
      <c r="G226" s="167">
        <f t="shared" si="30"/>
        <v>2.6438991972260744</v>
      </c>
      <c r="H226" s="167">
        <f t="shared" si="31"/>
        <v>3.2808398950131235</v>
      </c>
      <c r="I226" s="169">
        <f t="shared" si="32"/>
        <v>4.32</v>
      </c>
      <c r="J226" s="55">
        <f t="shared" si="33"/>
        <v>4.1509346261149407</v>
      </c>
      <c r="K226" s="55">
        <f t="shared" si="26"/>
        <v>13.61855192294928</v>
      </c>
    </row>
    <row r="227" spans="2:11" ht="13" x14ac:dyDescent="0.3">
      <c r="B227" s="358">
        <f t="shared" si="27"/>
        <v>19.186911331669286</v>
      </c>
      <c r="C227" s="59">
        <v>16</v>
      </c>
      <c r="D227" s="151">
        <f t="shared" si="28"/>
        <v>0.78768116893962559</v>
      </c>
      <c r="E227" s="151">
        <f>I191</f>
        <v>1</v>
      </c>
      <c r="F227" s="152">
        <f t="shared" si="29"/>
        <v>1.37</v>
      </c>
      <c r="G227" s="151">
        <f t="shared" si="30"/>
        <v>2.5842558036076952</v>
      </c>
      <c r="H227" s="151">
        <f t="shared" si="31"/>
        <v>3.2808398950131235</v>
      </c>
      <c r="I227" s="153">
        <f t="shared" si="32"/>
        <v>4.49</v>
      </c>
      <c r="J227" s="55">
        <f t="shared" si="33"/>
        <v>3.7098978220902281</v>
      </c>
      <c r="K227" s="55">
        <f t="shared" si="26"/>
        <v>12.171580781135921</v>
      </c>
    </row>
    <row r="228" spans="2:11" ht="13" x14ac:dyDescent="0.3">
      <c r="B228" s="357">
        <f t="shared" si="27"/>
        <v>20.350792668972545</v>
      </c>
      <c r="C228" s="150">
        <v>18</v>
      </c>
      <c r="D228" s="167">
        <f t="shared" si="28"/>
        <v>0.76731669594753937</v>
      </c>
      <c r="E228" s="167">
        <f>I191</f>
        <v>1</v>
      </c>
      <c r="F228" s="168">
        <f t="shared" si="29"/>
        <v>1.44</v>
      </c>
      <c r="G228" s="167">
        <f t="shared" si="30"/>
        <v>2.5174432281743422</v>
      </c>
      <c r="H228" s="167">
        <f t="shared" si="31"/>
        <v>3.2808398950131235</v>
      </c>
      <c r="I228" s="169">
        <f t="shared" si="32"/>
        <v>4.71</v>
      </c>
      <c r="J228" s="55">
        <f t="shared" si="33"/>
        <v>3.2976869529690918</v>
      </c>
      <c r="K228" s="55">
        <f t="shared" si="26"/>
        <v>10.819182916565262</v>
      </c>
    </row>
    <row r="229" spans="2:11" ht="13" x14ac:dyDescent="0.3">
      <c r="B229" s="357">
        <f t="shared" si="27"/>
        <v>21.558610290143722</v>
      </c>
      <c r="C229" s="150">
        <v>20.2</v>
      </c>
      <c r="D229" s="167">
        <f t="shared" si="28"/>
        <v>0.74609835230977406</v>
      </c>
      <c r="E229" s="167">
        <f>I191</f>
        <v>1</v>
      </c>
      <c r="F229" s="168">
        <f t="shared" si="29"/>
        <v>1.52</v>
      </c>
      <c r="G229" s="167">
        <f t="shared" si="30"/>
        <v>2.4478292398614636</v>
      </c>
      <c r="H229" s="167">
        <f t="shared" si="31"/>
        <v>3.2808398950131235</v>
      </c>
      <c r="I229" s="169">
        <f t="shared" si="32"/>
        <v>4.97</v>
      </c>
      <c r="J229" s="55">
        <f t="shared" si="33"/>
        <v>2.9385329283882995</v>
      </c>
      <c r="K229" s="55">
        <f t="shared" si="26"/>
        <v>9.6408560642660746</v>
      </c>
    </row>
    <row r="230" spans="2:11" ht="13" x14ac:dyDescent="0.3">
      <c r="B230" s="358">
        <f t="shared" si="27"/>
        <v>22.817211470547448</v>
      </c>
      <c r="C230" s="59">
        <f>SQRT(512)</f>
        <v>22.627416997969522</v>
      </c>
      <c r="D230" s="151">
        <f t="shared" si="28"/>
        <v>0.72400803646441159</v>
      </c>
      <c r="E230" s="151">
        <f>I191</f>
        <v>1</v>
      </c>
      <c r="F230" s="152">
        <f t="shared" si="29"/>
        <v>1.62</v>
      </c>
      <c r="G230" s="151">
        <f t="shared" si="30"/>
        <v>2.3753544503425581</v>
      </c>
      <c r="H230" s="151">
        <f t="shared" si="31"/>
        <v>3.2808398950131235</v>
      </c>
      <c r="I230" s="153">
        <f t="shared" si="32"/>
        <v>5.3</v>
      </c>
      <c r="J230" s="55">
        <f t="shared" si="33"/>
        <v>2.6232939075092041</v>
      </c>
      <c r="K230" s="55">
        <f t="shared" si="26"/>
        <v>8.6066073081010632</v>
      </c>
    </row>
    <row r="231" spans="2:11" ht="13" x14ac:dyDescent="0.3">
      <c r="B231" s="357">
        <f t="shared" si="27"/>
        <v>24.174746880543051</v>
      </c>
      <c r="C231" s="150">
        <v>25.4</v>
      </c>
      <c r="D231" s="167">
        <f t="shared" si="28"/>
        <v>0.70032456437760804</v>
      </c>
      <c r="E231" s="167">
        <f>I191</f>
        <v>1</v>
      </c>
      <c r="F231" s="168">
        <f t="shared" si="29"/>
        <v>1.75</v>
      </c>
      <c r="G231" s="167">
        <f t="shared" si="30"/>
        <v>2.2976527702677427</v>
      </c>
      <c r="H231" s="167">
        <f t="shared" si="31"/>
        <v>3.2808398950131235</v>
      </c>
      <c r="I231" s="169">
        <f t="shared" si="32"/>
        <v>5.73</v>
      </c>
      <c r="J231" s="55">
        <f t="shared" si="33"/>
        <v>2.3369435099780969</v>
      </c>
      <c r="K231" s="55">
        <f t="shared" si="26"/>
        <v>7.6671374999281392</v>
      </c>
    </row>
    <row r="232" spans="2:11" ht="13" x14ac:dyDescent="0.3">
      <c r="B232" s="357">
        <f t="shared" si="27"/>
        <v>25.607519212877403</v>
      </c>
      <c r="C232" s="150">
        <v>28.5</v>
      </c>
      <c r="D232" s="167">
        <f t="shared" ref="D232:D245" si="34">(J232*$I$191)/(J232+$I$191)</f>
        <v>0.67561426905423216</v>
      </c>
      <c r="E232" s="167">
        <f>I191</f>
        <v>1</v>
      </c>
      <c r="F232" s="168">
        <f t="shared" ref="F232:F245" si="35">IF($I$191&lt;J232,ROUND((J232*$I$191)/(J232-$I$191),2),"Infinity")</f>
        <v>1.92</v>
      </c>
      <c r="G232" s="167">
        <f t="shared" ref="G232:G245" si="36">D232*1000/25.4/12</f>
        <v>2.2165822475532555</v>
      </c>
      <c r="H232" s="167">
        <f t="shared" ref="H232:H245" si="37">E232*1000/25.4/12</f>
        <v>3.2808398950131235</v>
      </c>
      <c r="I232" s="169">
        <f t="shared" ref="I232:I245" si="38">IF($I$193&lt;K232,ROUND((K232*$I$193)/(K232-$I$193),2),"Infinity")</f>
        <v>6.31</v>
      </c>
      <c r="J232" s="55">
        <f t="shared" ref="J232:J245" si="39">$J$10^2/(C232*($J$16/($J$73*10)))/1000</f>
        <v>2.0827496545067947</v>
      </c>
      <c r="K232" s="55">
        <f t="shared" ref="K232:K245" si="40">J232*1000/25.4/12</f>
        <v>6.8331681578306913</v>
      </c>
    </row>
    <row r="233" spans="2:11" ht="13" x14ac:dyDescent="0.3">
      <c r="B233" s="358">
        <f t="shared" si="27"/>
        <v>27.134390225296723</v>
      </c>
      <c r="C233" s="59">
        <v>32</v>
      </c>
      <c r="D233" s="151">
        <f t="shared" si="34"/>
        <v>0.64973103506993091</v>
      </c>
      <c r="E233" s="151">
        <f>I191</f>
        <v>1</v>
      </c>
      <c r="F233" s="152">
        <f t="shared" si="35"/>
        <v>2.17</v>
      </c>
      <c r="G233" s="151">
        <f t="shared" si="36"/>
        <v>2.1316635008856006</v>
      </c>
      <c r="H233" s="151">
        <f t="shared" si="37"/>
        <v>3.2808398950131235</v>
      </c>
      <c r="I233" s="153">
        <f t="shared" si="38"/>
        <v>7.12</v>
      </c>
      <c r="J233" s="55">
        <f t="shared" si="39"/>
        <v>1.8549489110451141</v>
      </c>
      <c r="K233" s="55">
        <f t="shared" si="40"/>
        <v>6.0857903905679605</v>
      </c>
    </row>
    <row r="234" spans="2:11" ht="13" x14ac:dyDescent="0.3">
      <c r="B234" s="357">
        <f t="shared" si="27"/>
        <v>28.740366468100312</v>
      </c>
      <c r="C234" s="150">
        <v>35.9</v>
      </c>
      <c r="D234" s="167">
        <f t="shared" si="34"/>
        <v>0.62313021074661812</v>
      </c>
      <c r="E234" s="167">
        <f>I191</f>
        <v>1</v>
      </c>
      <c r="F234" s="168">
        <f t="shared" si="35"/>
        <v>2.5299999999999998</v>
      </c>
      <c r="G234" s="167">
        <f t="shared" si="36"/>
        <v>2.0443904552054399</v>
      </c>
      <c r="H234" s="167">
        <f t="shared" si="37"/>
        <v>3.2808398950131235</v>
      </c>
      <c r="I234" s="169">
        <f t="shared" si="38"/>
        <v>8.3000000000000007</v>
      </c>
      <c r="J234" s="55">
        <f t="shared" si="39"/>
        <v>1.6534363552491267</v>
      </c>
      <c r="K234" s="55">
        <f t="shared" si="40"/>
        <v>5.4246599581664263</v>
      </c>
    </row>
    <row r="235" spans="2:11" ht="13" x14ac:dyDescent="0.3">
      <c r="B235" s="357">
        <f t="shared" si="27"/>
        <v>30.450722413339772</v>
      </c>
      <c r="C235" s="150">
        <v>40.299999999999997</v>
      </c>
      <c r="D235" s="167">
        <f t="shared" si="34"/>
        <v>0.59561849185514704</v>
      </c>
      <c r="E235" s="167">
        <f>I191</f>
        <v>1</v>
      </c>
      <c r="F235" s="168">
        <f t="shared" si="35"/>
        <v>3.11</v>
      </c>
      <c r="G235" s="167">
        <f t="shared" si="36"/>
        <v>1.9541289102859156</v>
      </c>
      <c r="H235" s="167">
        <f t="shared" si="37"/>
        <v>3.2808398950131235</v>
      </c>
      <c r="I235" s="169">
        <f t="shared" si="38"/>
        <v>10.220000000000001</v>
      </c>
      <c r="J235" s="55">
        <f t="shared" si="39"/>
        <v>1.4729122866859468</v>
      </c>
      <c r="K235" s="55">
        <f t="shared" si="40"/>
        <v>4.8323893920142611</v>
      </c>
    </row>
    <row r="236" spans="2:11" ht="13" x14ac:dyDescent="0.3">
      <c r="B236" s="358">
        <f t="shared" si="27"/>
        <v>32.268409917183149</v>
      </c>
      <c r="C236" s="59">
        <f>SQRT(2048)</f>
        <v>45.254833995939045</v>
      </c>
      <c r="D236" s="151">
        <f t="shared" si="34"/>
        <v>0.56740799092361871</v>
      </c>
      <c r="E236" s="151">
        <f>I191</f>
        <v>1</v>
      </c>
      <c r="F236" s="152">
        <f t="shared" si="35"/>
        <v>4.21</v>
      </c>
      <c r="G236" s="151">
        <f t="shared" si="36"/>
        <v>1.8615747733714525</v>
      </c>
      <c r="H236" s="151">
        <f t="shared" si="37"/>
        <v>3.2808398950131235</v>
      </c>
      <c r="I236" s="153">
        <f t="shared" si="38"/>
        <v>13.81</v>
      </c>
      <c r="J236" s="55">
        <f t="shared" si="39"/>
        <v>1.3116469537546021</v>
      </c>
      <c r="K236" s="55">
        <f t="shared" si="40"/>
        <v>4.3033036540505316</v>
      </c>
    </row>
    <row r="237" spans="2:11" ht="13" x14ac:dyDescent="0.3">
      <c r="B237" s="357">
        <f t="shared" si="27"/>
        <v>34.188254905400655</v>
      </c>
      <c r="C237" s="150">
        <v>50.8</v>
      </c>
      <c r="D237" s="167">
        <f t="shared" si="34"/>
        <v>0.53884573423689797</v>
      </c>
      <c r="E237" s="167">
        <f>I191</f>
        <v>1</v>
      </c>
      <c r="F237" s="168">
        <f t="shared" si="35"/>
        <v>6.94</v>
      </c>
      <c r="G237" s="167">
        <f t="shared" si="36"/>
        <v>1.7678665821420541</v>
      </c>
      <c r="H237" s="167">
        <f t="shared" si="37"/>
        <v>3.2808398950131235</v>
      </c>
      <c r="I237" s="169">
        <f t="shared" si="38"/>
        <v>22.75</v>
      </c>
      <c r="J237" s="55">
        <f t="shared" si="39"/>
        <v>1.1684717549890484</v>
      </c>
      <c r="K237" s="55">
        <f t="shared" si="40"/>
        <v>3.8335687499640696</v>
      </c>
    </row>
    <row r="238" spans="2:11" ht="13" x14ac:dyDescent="0.3">
      <c r="B238" s="357">
        <f t="shared" si="27"/>
        <v>36.214500969580826</v>
      </c>
      <c r="C238" s="150">
        <v>57</v>
      </c>
      <c r="D238" s="167">
        <f t="shared" si="34"/>
        <v>0.51013405933614497</v>
      </c>
      <c r="E238" s="167">
        <f>I191</f>
        <v>1</v>
      </c>
      <c r="F238" s="168">
        <f t="shared" si="35"/>
        <v>25.17</v>
      </c>
      <c r="G238" s="167">
        <f t="shared" si="36"/>
        <v>1.6736681736750165</v>
      </c>
      <c r="H238" s="167">
        <f t="shared" si="37"/>
        <v>3.2808398950131235</v>
      </c>
      <c r="I238" s="169">
        <f t="shared" si="38"/>
        <v>82.58</v>
      </c>
      <c r="J238" s="55">
        <f t="shared" si="39"/>
        <v>1.0413748272533974</v>
      </c>
      <c r="K238" s="55">
        <f t="shared" si="40"/>
        <v>3.4165840789153457</v>
      </c>
    </row>
    <row r="239" spans="2:11" ht="13" x14ac:dyDescent="0.3">
      <c r="B239" s="358">
        <f t="shared" si="27"/>
        <v>38.373822663338572</v>
      </c>
      <c r="C239" s="59">
        <v>64</v>
      </c>
      <c r="D239" s="151">
        <f t="shared" si="34"/>
        <v>0.48118637985846074</v>
      </c>
      <c r="E239" s="151">
        <f>I191</f>
        <v>1</v>
      </c>
      <c r="F239" s="152" t="str">
        <f t="shared" si="35"/>
        <v>Infinity</v>
      </c>
      <c r="G239" s="151">
        <f t="shared" si="36"/>
        <v>1.5786954719765773</v>
      </c>
      <c r="H239" s="151">
        <f t="shared" si="37"/>
        <v>3.2808398950131235</v>
      </c>
      <c r="I239" s="153" t="str">
        <f t="shared" si="38"/>
        <v>Infinity</v>
      </c>
      <c r="J239" s="55">
        <f t="shared" si="39"/>
        <v>0.92747445552255703</v>
      </c>
      <c r="K239" s="55">
        <f t="shared" si="40"/>
        <v>3.0428951952839802</v>
      </c>
    </row>
    <row r="240" spans="2:11" ht="13" x14ac:dyDescent="0.3">
      <c r="B240" s="357">
        <f t="shared" si="27"/>
        <v>40.645016046760389</v>
      </c>
      <c r="C240" s="150">
        <v>71.8</v>
      </c>
      <c r="D240" s="167">
        <f t="shared" si="34"/>
        <v>0.45257018173411684</v>
      </c>
      <c r="E240" s="167">
        <f>I191</f>
        <v>1</v>
      </c>
      <c r="F240" s="168" t="str">
        <f t="shared" si="35"/>
        <v>Infinity</v>
      </c>
      <c r="G240" s="167">
        <f t="shared" si="36"/>
        <v>1.4848103075266301</v>
      </c>
      <c r="H240" s="167">
        <f t="shared" si="37"/>
        <v>3.2808398950131235</v>
      </c>
      <c r="I240" s="169" t="str">
        <f t="shared" si="38"/>
        <v>Infinity</v>
      </c>
      <c r="J240" s="55">
        <f t="shared" si="39"/>
        <v>0.82671817762456334</v>
      </c>
      <c r="K240" s="55">
        <f t="shared" si="40"/>
        <v>2.7123299790832132</v>
      </c>
    </row>
    <row r="241" spans="2:11" ht="13" x14ac:dyDescent="0.3">
      <c r="B241" s="357">
        <f t="shared" si="27"/>
        <v>43.063824621003484</v>
      </c>
      <c r="C241" s="150">
        <v>80.599999999999994</v>
      </c>
      <c r="D241" s="167">
        <f t="shared" si="34"/>
        <v>0.42411445066799675</v>
      </c>
      <c r="E241" s="167">
        <f>I191</f>
        <v>1</v>
      </c>
      <c r="F241" s="168" t="str">
        <f t="shared" si="35"/>
        <v>Infinity</v>
      </c>
      <c r="G241" s="167">
        <f t="shared" si="36"/>
        <v>1.3914516098031389</v>
      </c>
      <c r="H241" s="167">
        <f t="shared" si="37"/>
        <v>3.2808398950131235</v>
      </c>
      <c r="I241" s="169" t="str">
        <f t="shared" si="38"/>
        <v>Infinity</v>
      </c>
      <c r="J241" s="55">
        <f t="shared" si="39"/>
        <v>0.73645614334297338</v>
      </c>
      <c r="K241" s="55">
        <f t="shared" si="40"/>
        <v>2.4161946960071305</v>
      </c>
    </row>
    <row r="242" spans="2:11" ht="13" x14ac:dyDescent="0.3">
      <c r="B242" s="358">
        <f t="shared" si="27"/>
        <v>45.634422941094897</v>
      </c>
      <c r="C242" s="59">
        <f>SQRT(8192)</f>
        <v>90.509667991878089</v>
      </c>
      <c r="D242" s="151">
        <f t="shared" si="34"/>
        <v>0.39607088921949046</v>
      </c>
      <c r="E242" s="151">
        <f>I191</f>
        <v>1</v>
      </c>
      <c r="F242" s="152" t="str">
        <f t="shared" si="35"/>
        <v>Infinity</v>
      </c>
      <c r="G242" s="151">
        <f t="shared" si="36"/>
        <v>1.2994451746046276</v>
      </c>
      <c r="H242" s="151">
        <f t="shared" si="37"/>
        <v>3.2808398950131235</v>
      </c>
      <c r="I242" s="153" t="str">
        <f t="shared" si="38"/>
        <v>Infinity</v>
      </c>
      <c r="J242" s="55">
        <f t="shared" si="39"/>
        <v>0.65582347687730103</v>
      </c>
      <c r="K242" s="55">
        <f t="shared" si="40"/>
        <v>2.1516518270252658</v>
      </c>
    </row>
    <row r="243" spans="2:11" ht="13" x14ac:dyDescent="0.3">
      <c r="B243" s="357">
        <f t="shared" si="27"/>
        <v>48.349493761086102</v>
      </c>
      <c r="C243" s="150">
        <v>101.6</v>
      </c>
      <c r="D243" s="167">
        <f t="shared" si="34"/>
        <v>0.36878086514395553</v>
      </c>
      <c r="E243" s="167">
        <f>I191</f>
        <v>1</v>
      </c>
      <c r="F243" s="168" t="str">
        <f t="shared" si="35"/>
        <v>Infinity</v>
      </c>
      <c r="G243" s="167">
        <f t="shared" si="36"/>
        <v>1.2099109748817438</v>
      </c>
      <c r="H243" s="167">
        <f t="shared" si="37"/>
        <v>3.2808398950131235</v>
      </c>
      <c r="I243" s="169" t="str">
        <f t="shared" si="38"/>
        <v>Infinity</v>
      </c>
      <c r="J243" s="55">
        <f t="shared" si="39"/>
        <v>0.58423587749452421</v>
      </c>
      <c r="K243" s="55">
        <f t="shared" si="40"/>
        <v>1.9167843749820348</v>
      </c>
    </row>
    <row r="244" spans="2:11" ht="13" x14ac:dyDescent="0.3">
      <c r="B244" s="357">
        <f t="shared" si="27"/>
        <v>51.215038425754805</v>
      </c>
      <c r="C244" s="150">
        <v>114</v>
      </c>
      <c r="D244" s="167">
        <f t="shared" si="34"/>
        <v>0.342402658798173</v>
      </c>
      <c r="E244" s="167">
        <f>I191</f>
        <v>1</v>
      </c>
      <c r="F244" s="168" t="str">
        <f t="shared" si="35"/>
        <v>Infinity</v>
      </c>
      <c r="G244" s="167">
        <f t="shared" si="36"/>
        <v>1.1233683031436121</v>
      </c>
      <c r="H244" s="167">
        <f t="shared" si="37"/>
        <v>3.2808398950131235</v>
      </c>
      <c r="I244" s="169" t="str">
        <f t="shared" si="38"/>
        <v>Infinity</v>
      </c>
      <c r="J244" s="55">
        <f t="shared" si="39"/>
        <v>0.52068741362669868</v>
      </c>
      <c r="K244" s="55">
        <f t="shared" si="40"/>
        <v>1.7082920394576728</v>
      </c>
    </row>
    <row r="245" spans="2:11" ht="13.5" thickBot="1" x14ac:dyDescent="0.35">
      <c r="B245" s="359">
        <f t="shared" si="27"/>
        <v>54.268780450593447</v>
      </c>
      <c r="C245" s="64">
        <v>128</v>
      </c>
      <c r="D245" s="159">
        <f t="shared" si="34"/>
        <v>0.31681726676484423</v>
      </c>
      <c r="E245" s="159">
        <f>I191</f>
        <v>1</v>
      </c>
      <c r="F245" s="160" t="str">
        <f t="shared" si="35"/>
        <v>Infinity</v>
      </c>
      <c r="G245" s="159">
        <f t="shared" si="36"/>
        <v>1.0394267282311163</v>
      </c>
      <c r="H245" s="159">
        <f t="shared" si="37"/>
        <v>3.2808398950131235</v>
      </c>
      <c r="I245" s="161" t="str">
        <f t="shared" si="38"/>
        <v>Infinity</v>
      </c>
      <c r="J245" s="55">
        <f t="shared" si="39"/>
        <v>0.46373722776127851</v>
      </c>
      <c r="K245" s="55">
        <f t="shared" si="40"/>
        <v>1.5214475976419901</v>
      </c>
    </row>
    <row r="248" spans="2:11" x14ac:dyDescent="0.25">
      <c r="C248" t="s">
        <v>147</v>
      </c>
    </row>
    <row r="249" spans="2:11" x14ac:dyDescent="0.25">
      <c r="C249" t="s">
        <v>148</v>
      </c>
    </row>
    <row r="251" spans="2:11" ht="13" x14ac:dyDescent="0.3">
      <c r="H251" s="189" t="s">
        <v>195</v>
      </c>
      <c r="I251" s="361" t="s">
        <v>231</v>
      </c>
    </row>
  </sheetData>
  <sheetProtection sheet="1" objects="1" scenarios="1"/>
  <phoneticPr fontId="0" type="noConversion"/>
  <conditionalFormatting sqref="C146:C188 C203:C245">
    <cfRule type="cellIs" dxfId="14" priority="1" stopIfTrue="1" operator="greaterThanOrEqual">
      <formula>$I$142</formula>
    </cfRule>
  </conditionalFormatting>
  <conditionalFormatting sqref="J131">
    <cfRule type="cellIs" dxfId="13" priority="2" stopIfTrue="1" operator="lessThan">
      <formula>$J$91</formula>
    </cfRule>
  </conditionalFormatting>
  <conditionalFormatting sqref="J132">
    <cfRule type="cellIs" dxfId="12" priority="3" stopIfTrue="1" operator="lessThan">
      <formula>$J$45</formula>
    </cfRule>
  </conditionalFormatting>
  <conditionalFormatting sqref="K131">
    <cfRule type="cellIs" dxfId="11" priority="4" stopIfTrue="1" operator="equal">
      <formula>" Good:  Your Desired Print Resolution will NOT be prohibited by"</formula>
    </cfRule>
  </conditionalFormatting>
  <conditionalFormatting sqref="K132">
    <cfRule type="cellIs" dxfId="10" priority="5" stopIfTrue="1" operator="equal">
      <formula>" Diffraction at the f-Stop at which Airy Disk size = Max. CoC size."</formula>
    </cfRule>
  </conditionalFormatting>
  <conditionalFormatting sqref="I141 I198">
    <cfRule type="cellIs" dxfId="9" priority="6" stopIfTrue="1" operator="greaterThan">
      <formula>9.84</formula>
    </cfRule>
  </conditionalFormatting>
  <conditionalFormatting sqref="K61">
    <cfRule type="cellIs" dxfId="8" priority="7" stopIfTrue="1" operator="equal">
      <formula>" Good:  The specified System Resolution can deliver"</formula>
    </cfRule>
  </conditionalFormatting>
  <conditionalFormatting sqref="K62">
    <cfRule type="cellIs" dxfId="7" priority="8" stopIfTrue="1" operator="equal">
      <formula>" your Desired Print Resolution at this Magnification."</formula>
    </cfRule>
  </conditionalFormatting>
  <conditionalFormatting sqref="K76">
    <cfRule type="cellIs" dxfId="6" priority="9" stopIfTrue="1" operator="equal">
      <formula>"  less than your Desired Print Resolution!  INCREASE"</formula>
    </cfRule>
  </conditionalFormatting>
  <conditionalFormatting sqref="J83">
    <cfRule type="cellIs" dxfId="5" priority="10" stopIfTrue="1" operator="greaterThan">
      <formula>25</formula>
    </cfRule>
  </conditionalFormatting>
  <conditionalFormatting sqref="J61 J76">
    <cfRule type="cellIs" dxfId="4" priority="11" stopIfTrue="1" operator="lessThan">
      <formula>$J$46</formula>
    </cfRule>
  </conditionalFormatting>
  <conditionalFormatting sqref="K45:Q45">
    <cfRule type="cellIs" dxfId="3" priority="12" stopIfTrue="1" operator="equal">
      <formula>" 5.00 lp/mm is recommended for 10-inch viewing distance, 2.50 lp/mm for 20-inch, etc."</formula>
    </cfRule>
  </conditionalFormatting>
  <conditionalFormatting sqref="J84">
    <cfRule type="cellIs" dxfId="2" priority="13" stopIfTrue="1" operator="greaterThan">
      <formula>9.84</formula>
    </cfRule>
  </conditionalFormatting>
  <conditionalFormatting sqref="K84:O84">
    <cfRule type="cellIs" dxfId="1" priority="14" stopIfTrue="1" operator="equal">
      <formula>" Caution: This Viewing Distance exceeds 9.84 inches (25cm)."</formula>
    </cfRule>
  </conditionalFormatting>
  <conditionalFormatting sqref="B146:B188 B203:B245 D109:E125">
    <cfRule type="cellIs" dxfId="0" priority="15" stopIfTrue="1" operator="greaterThan">
      <formula>$J$91</formula>
    </cfRule>
  </conditionalFormatting>
  <hyperlinks>
    <hyperlink ref="I99" r:id="rId1"/>
    <hyperlink ref="D6" r:id="rId2"/>
  </hyperlinks>
  <pageMargins left="0.73" right="0.69" top="1" bottom="0.82" header="0.5" footer="0.5"/>
  <pageSetup orientation="portrait" horizontalDpi="300" verticalDpi="300"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B14"/>
  <sheetViews>
    <sheetView workbookViewId="0">
      <selection activeCell="T1" sqref="T1"/>
    </sheetView>
  </sheetViews>
  <sheetFormatPr defaultRowHeight="12.5" x14ac:dyDescent="0.25"/>
  <sheetData>
    <row r="10" spans="2:2" ht="13" x14ac:dyDescent="0.3">
      <c r="B10" s="5"/>
    </row>
    <row r="11" spans="2:2" x14ac:dyDescent="0.25">
      <c r="B11" s="66"/>
    </row>
    <row r="12" spans="2:2" x14ac:dyDescent="0.25">
      <c r="B12" s="66"/>
    </row>
    <row r="13" spans="2:2" x14ac:dyDescent="0.25">
      <c r="B13" s="66"/>
    </row>
    <row r="14" spans="2:2" x14ac:dyDescent="0.25">
      <c r="B14" s="66"/>
    </row>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
  <sheetViews>
    <sheetView workbookViewId="0">
      <selection activeCell="R1" sqref="R1"/>
    </sheetView>
  </sheetViews>
  <sheetFormatPr defaultRowHeight="12.5" x14ac:dyDescent="0.25"/>
  <sheetData>
    <row r="8" spans="2:2" ht="13" x14ac:dyDescent="0.3">
      <c r="B8" s="5"/>
    </row>
  </sheetData>
  <sheetProtection sheet="1" objects="1" scenarios="1"/>
  <phoneticPr fontId="0" type="noConversion"/>
  <pageMargins left="0.75" right="0.75" top="1" bottom="1" header="0.5" footer="0.5"/>
  <pageSetup orientation="portrait" horizontalDpi="300" verticalDpi="300" r:id="rId1"/>
  <headerFooter alignWithMargins="0">
    <oddHeader>&amp;A</oddHead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
  <sheetViews>
    <sheetView workbookViewId="0">
      <selection activeCell="R1" sqref="R1"/>
    </sheetView>
  </sheetViews>
  <sheetFormatPr defaultRowHeight="12.5" x14ac:dyDescent="0.25"/>
  <sheetData>
    <row r="5" spans="3:3" ht="13" x14ac:dyDescent="0.3">
      <c r="C5" s="190" t="s">
        <v>194</v>
      </c>
    </row>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 sqref="T1"/>
    </sheetView>
  </sheetViews>
  <sheetFormatPr defaultRowHeight="12.5" x14ac:dyDescent="0.25"/>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 sqref="R1"/>
    </sheetView>
  </sheetViews>
  <sheetFormatPr defaultRowHeight="12.5" x14ac:dyDescent="0.25"/>
  <sheetData/>
  <sheetProtection sheet="1" objects="1" scenarios="1"/>
  <phoneticPr fontId="0" type="noConversion"/>
  <pageMargins left="0.75" right="0.75" top="1" bottom="1" header="0.5" footer="0.5"/>
  <pageSetup orientation="portrait" horizontalDpi="300" verticalDpi="300" r:id="rId1"/>
  <headerFooter alignWithMargins="0">
    <oddHeader>&amp;A</oddHeader>
    <oddFoote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 sqref="R1"/>
    </sheetView>
  </sheetViews>
  <sheetFormatPr defaultRowHeight="12.5" x14ac:dyDescent="0.25"/>
  <sheetData/>
  <sheetProtection sheet="1" objects="1" scenarios="1"/>
  <phoneticPr fontId="0" type="noConversion"/>
  <pageMargins left="0.75" right="0.75" top="1" bottom="1" header="0.5" footer="0.5"/>
  <pageSetup orientation="portrait" horizontalDpi="300" verticalDpi="300"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 sqref="R1"/>
    </sheetView>
  </sheetViews>
  <sheetFormatPr defaultRowHeight="12.5" x14ac:dyDescent="0.25"/>
  <sheetData/>
  <sheetProtection sheet="1" objects="1" scenarios="1"/>
  <phoneticPr fontId="0"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14"/>
  <sheetViews>
    <sheetView workbookViewId="0">
      <selection activeCell="T1" sqref="T1"/>
    </sheetView>
  </sheetViews>
  <sheetFormatPr defaultRowHeight="12.5" x14ac:dyDescent="0.25"/>
  <sheetData>
    <row r="9" spans="2:2" ht="13" x14ac:dyDescent="0.3">
      <c r="B9" s="5"/>
    </row>
    <row r="10" spans="2:2" x14ac:dyDescent="0.25">
      <c r="B10" s="66"/>
    </row>
    <row r="11" spans="2:2" x14ac:dyDescent="0.25">
      <c r="B11" s="66"/>
    </row>
    <row r="12" spans="2:2" x14ac:dyDescent="0.25">
      <c r="B12" s="66"/>
    </row>
    <row r="13" spans="2:2" x14ac:dyDescent="0.25">
      <c r="B13" s="61"/>
    </row>
    <row r="14" spans="2:2" x14ac:dyDescent="0.25">
      <c r="B14" s="61"/>
    </row>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38"/>
  <sheetViews>
    <sheetView workbookViewId="0">
      <selection activeCell="T1" sqref="T1"/>
    </sheetView>
  </sheetViews>
  <sheetFormatPr defaultRowHeight="12.5" x14ac:dyDescent="0.25"/>
  <sheetData>
    <row r="8" spans="2:2" x14ac:dyDescent="0.25">
      <c r="B8" s="61"/>
    </row>
    <row r="9" spans="2:2" ht="13" x14ac:dyDescent="0.3">
      <c r="B9" s="5"/>
    </row>
    <row r="10" spans="2:2" ht="13" x14ac:dyDescent="0.3">
      <c r="B10" s="5"/>
    </row>
    <row r="11" spans="2:2" ht="13" x14ac:dyDescent="0.3">
      <c r="B11" s="5"/>
    </row>
    <row r="12" spans="2:2" ht="13" x14ac:dyDescent="0.3">
      <c r="B12" s="5"/>
    </row>
    <row r="13" spans="2:2" ht="13" x14ac:dyDescent="0.3">
      <c r="B13" s="5"/>
    </row>
    <row r="14" spans="2:2" ht="13" x14ac:dyDescent="0.3">
      <c r="B14" s="5"/>
    </row>
    <row r="15" spans="2:2" ht="13" x14ac:dyDescent="0.3">
      <c r="B15" s="5"/>
    </row>
    <row r="16" spans="2:2" ht="13" x14ac:dyDescent="0.3">
      <c r="B16" s="5"/>
    </row>
    <row r="17" spans="2:2" ht="13" x14ac:dyDescent="0.3">
      <c r="B17" s="5"/>
    </row>
    <row r="18" spans="2:2" ht="13" x14ac:dyDescent="0.3">
      <c r="B18" s="5"/>
    </row>
    <row r="19" spans="2:2" ht="13" x14ac:dyDescent="0.3">
      <c r="B19" s="5"/>
    </row>
    <row r="20" spans="2:2" ht="13" x14ac:dyDescent="0.3">
      <c r="B20" s="5"/>
    </row>
    <row r="21" spans="2:2" ht="13" x14ac:dyDescent="0.3">
      <c r="B21" s="5"/>
    </row>
    <row r="22" spans="2:2" ht="13" x14ac:dyDescent="0.3">
      <c r="B22" s="5"/>
    </row>
    <row r="23" spans="2:2" ht="13" x14ac:dyDescent="0.3">
      <c r="B23" s="5"/>
    </row>
    <row r="24" spans="2:2" ht="13" x14ac:dyDescent="0.3">
      <c r="B24" s="5"/>
    </row>
    <row r="25" spans="2:2" ht="13" x14ac:dyDescent="0.3">
      <c r="B25" s="5"/>
    </row>
    <row r="26" spans="2:2" ht="13" x14ac:dyDescent="0.3">
      <c r="B26" s="5"/>
    </row>
    <row r="27" spans="2:2" ht="13" x14ac:dyDescent="0.3">
      <c r="B27" s="5"/>
    </row>
    <row r="28" spans="2:2" ht="13" x14ac:dyDescent="0.3">
      <c r="B28" s="5"/>
    </row>
    <row r="29" spans="2:2" ht="13" x14ac:dyDescent="0.3">
      <c r="B29" s="5"/>
    </row>
    <row r="30" spans="2:2" x14ac:dyDescent="0.25">
      <c r="B30" s="61"/>
    </row>
    <row r="31" spans="2:2" x14ac:dyDescent="0.25">
      <c r="B31" s="61"/>
    </row>
    <row r="32" spans="2:2" x14ac:dyDescent="0.25">
      <c r="B32" s="61"/>
    </row>
    <row r="33" spans="2:2" x14ac:dyDescent="0.25">
      <c r="B33" s="61"/>
    </row>
    <row r="34" spans="2:2" x14ac:dyDescent="0.25">
      <c r="B34" s="61"/>
    </row>
    <row r="35" spans="2:2" x14ac:dyDescent="0.25">
      <c r="B35" s="61"/>
    </row>
    <row r="36" spans="2:2" x14ac:dyDescent="0.25">
      <c r="B36" s="61"/>
    </row>
    <row r="37" spans="2:2" x14ac:dyDescent="0.25">
      <c r="B37" s="61"/>
    </row>
    <row r="38" spans="2:2" x14ac:dyDescent="0.25">
      <c r="B38" s="61"/>
    </row>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10"/>
  <sheetViews>
    <sheetView workbookViewId="0">
      <selection activeCell="T1" sqref="T1"/>
    </sheetView>
  </sheetViews>
  <sheetFormatPr defaultRowHeight="12.5" x14ac:dyDescent="0.25"/>
  <sheetData>
    <row r="8" spans="2:2" x14ac:dyDescent="0.25">
      <c r="B8" s="66"/>
    </row>
    <row r="9" spans="2:2" x14ac:dyDescent="0.25">
      <c r="B9" s="82"/>
    </row>
    <row r="10" spans="2:2" x14ac:dyDescent="0.25">
      <c r="B10" s="82"/>
    </row>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33"/>
  <sheetViews>
    <sheetView workbookViewId="0">
      <selection activeCell="O1" sqref="O1"/>
    </sheetView>
  </sheetViews>
  <sheetFormatPr defaultRowHeight="12.5" x14ac:dyDescent="0.25"/>
  <sheetData>
    <row r="9" spans="2:10" ht="13" x14ac:dyDescent="0.3">
      <c r="B9" s="5"/>
    </row>
    <row r="10" spans="2:10" ht="13" x14ac:dyDescent="0.3">
      <c r="B10" s="69"/>
      <c r="C10" s="69"/>
      <c r="D10" s="69"/>
      <c r="E10" s="69"/>
      <c r="F10" s="69"/>
      <c r="G10" s="69"/>
      <c r="H10" s="69"/>
      <c r="I10" s="68"/>
      <c r="J10" s="69"/>
    </row>
    <row r="11" spans="2:10" ht="13" x14ac:dyDescent="0.3">
      <c r="B11" s="69"/>
      <c r="C11" s="69"/>
      <c r="D11" s="69"/>
      <c r="E11" s="69"/>
      <c r="F11" s="69"/>
      <c r="G11" s="69"/>
      <c r="H11" s="69"/>
      <c r="I11" s="68"/>
      <c r="J11" s="69"/>
    </row>
    <row r="12" spans="2:10" ht="13" x14ac:dyDescent="0.3">
      <c r="B12" s="69"/>
      <c r="C12" s="69"/>
      <c r="D12" s="69"/>
      <c r="E12" s="69"/>
      <c r="F12" s="69"/>
      <c r="G12" s="69"/>
      <c r="H12" s="69"/>
      <c r="I12" s="68"/>
      <c r="J12" s="69"/>
    </row>
    <row r="13" spans="2:10" ht="13" x14ac:dyDescent="0.3">
      <c r="B13" s="69"/>
      <c r="C13" s="69"/>
      <c r="D13" s="69"/>
      <c r="E13" s="69"/>
      <c r="F13" s="69"/>
      <c r="G13" s="69"/>
      <c r="H13" s="69"/>
      <c r="I13" s="68"/>
      <c r="J13" s="69"/>
    </row>
    <row r="14" spans="2:10" ht="13" x14ac:dyDescent="0.3">
      <c r="B14" s="69"/>
      <c r="C14" s="69"/>
      <c r="D14" s="69"/>
      <c r="E14" s="69"/>
      <c r="F14" s="69"/>
      <c r="G14" s="69"/>
      <c r="H14" s="69"/>
      <c r="I14" s="68"/>
      <c r="J14" s="69"/>
    </row>
    <row r="15" spans="2:10" ht="13" x14ac:dyDescent="0.3">
      <c r="B15" s="69"/>
      <c r="C15" s="69"/>
      <c r="D15" s="69"/>
      <c r="E15" s="69"/>
      <c r="F15" s="69"/>
      <c r="G15" s="69"/>
      <c r="H15" s="69"/>
      <c r="I15" s="68"/>
      <c r="J15" s="69"/>
    </row>
    <row r="16" spans="2:10" ht="13" x14ac:dyDescent="0.3">
      <c r="B16" s="69"/>
      <c r="C16" s="69"/>
      <c r="D16" s="69"/>
      <c r="E16" s="69"/>
      <c r="F16" s="69"/>
      <c r="G16" s="69"/>
      <c r="H16" s="69"/>
      <c r="I16" s="68"/>
      <c r="J16" s="69"/>
    </row>
    <row r="17" spans="2:10" ht="13" x14ac:dyDescent="0.3">
      <c r="B17" s="69"/>
      <c r="C17" s="69"/>
      <c r="D17" s="69"/>
      <c r="E17" s="69"/>
      <c r="F17" s="69"/>
      <c r="G17" s="69"/>
      <c r="H17" s="69"/>
      <c r="I17" s="68"/>
      <c r="J17" s="69"/>
    </row>
    <row r="18" spans="2:10" ht="13" x14ac:dyDescent="0.3">
      <c r="B18" s="69"/>
      <c r="C18" s="69"/>
      <c r="D18" s="69"/>
      <c r="E18" s="69"/>
      <c r="F18" s="69"/>
      <c r="G18" s="69"/>
      <c r="H18" s="69"/>
      <c r="I18" s="68"/>
      <c r="J18" s="69"/>
    </row>
    <row r="19" spans="2:10" ht="13" x14ac:dyDescent="0.3">
      <c r="B19" s="69"/>
      <c r="C19" s="69"/>
      <c r="D19" s="69"/>
      <c r="E19" s="69"/>
      <c r="F19" s="69"/>
      <c r="G19" s="69"/>
      <c r="H19" s="69"/>
      <c r="I19" s="68"/>
      <c r="J19" s="69"/>
    </row>
    <row r="20" spans="2:10" ht="13" x14ac:dyDescent="0.3">
      <c r="B20" s="69"/>
      <c r="C20" s="69"/>
      <c r="D20" s="69"/>
      <c r="E20" s="69"/>
      <c r="F20" s="69"/>
      <c r="G20" s="69"/>
      <c r="H20" s="69"/>
      <c r="I20" s="68"/>
      <c r="J20" s="69"/>
    </row>
    <row r="21" spans="2:10" ht="13" x14ac:dyDescent="0.3">
      <c r="B21" s="69"/>
      <c r="C21" s="69"/>
      <c r="D21" s="69"/>
      <c r="E21" s="69"/>
      <c r="F21" s="69"/>
      <c r="G21" s="69"/>
      <c r="H21" s="69"/>
      <c r="I21" s="68"/>
      <c r="J21" s="69"/>
    </row>
    <row r="22" spans="2:10" ht="13" x14ac:dyDescent="0.3">
      <c r="B22" s="69"/>
      <c r="C22" s="69"/>
      <c r="D22" s="69"/>
      <c r="E22" s="69"/>
      <c r="F22" s="69"/>
      <c r="G22" s="69"/>
      <c r="H22" s="69"/>
      <c r="I22" s="68"/>
      <c r="J22" s="69"/>
    </row>
    <row r="23" spans="2:10" ht="13" x14ac:dyDescent="0.3">
      <c r="B23" s="69"/>
      <c r="C23" s="69"/>
      <c r="D23" s="69"/>
      <c r="E23" s="69"/>
      <c r="F23" s="69"/>
      <c r="G23" s="69"/>
      <c r="H23" s="69"/>
      <c r="I23" s="68"/>
      <c r="J23" s="69"/>
    </row>
    <row r="24" spans="2:10" ht="13" x14ac:dyDescent="0.3">
      <c r="B24" s="69"/>
      <c r="C24" s="69"/>
      <c r="D24" s="69"/>
      <c r="E24" s="69"/>
      <c r="F24" s="69"/>
      <c r="G24" s="69"/>
      <c r="H24" s="69"/>
      <c r="I24" s="68"/>
      <c r="J24" s="69"/>
    </row>
    <row r="25" spans="2:10" ht="13" x14ac:dyDescent="0.3">
      <c r="B25" s="69"/>
      <c r="C25" s="69"/>
      <c r="D25" s="69"/>
      <c r="E25" s="69"/>
      <c r="F25" s="69"/>
      <c r="G25" s="69"/>
      <c r="H25" s="69"/>
      <c r="I25" s="68"/>
      <c r="J25" s="69"/>
    </row>
    <row r="26" spans="2:10" ht="13" x14ac:dyDescent="0.3">
      <c r="B26" s="69"/>
      <c r="C26" s="69"/>
      <c r="D26" s="69"/>
      <c r="E26" s="69"/>
      <c r="F26" s="69"/>
      <c r="G26" s="69"/>
      <c r="H26" s="69"/>
      <c r="I26" s="68"/>
      <c r="J26" s="69"/>
    </row>
    <row r="27" spans="2:10" ht="13" x14ac:dyDescent="0.3">
      <c r="B27" s="69"/>
      <c r="C27" s="69"/>
      <c r="D27" s="69"/>
      <c r="E27" s="69"/>
      <c r="F27" s="69"/>
      <c r="G27" s="69"/>
      <c r="H27" s="69"/>
      <c r="I27" s="68"/>
      <c r="J27" s="69"/>
    </row>
    <row r="28" spans="2:10" ht="13" x14ac:dyDescent="0.3">
      <c r="B28" s="69"/>
      <c r="C28" s="69"/>
      <c r="D28" s="69"/>
      <c r="E28" s="69"/>
      <c r="F28" s="69"/>
      <c r="G28" s="69"/>
      <c r="H28" s="69"/>
      <c r="I28" s="68"/>
      <c r="J28" s="69"/>
    </row>
    <row r="29" spans="2:10" ht="13" x14ac:dyDescent="0.3">
      <c r="B29" s="69"/>
      <c r="C29" s="69"/>
      <c r="D29" s="69"/>
      <c r="E29" s="69"/>
      <c r="F29" s="69"/>
      <c r="G29" s="69"/>
      <c r="H29" s="69"/>
      <c r="I29" s="68"/>
      <c r="J29" s="69"/>
    </row>
    <row r="30" spans="2:10" ht="13" x14ac:dyDescent="0.3">
      <c r="B30" s="69"/>
      <c r="C30" s="69"/>
      <c r="D30" s="69"/>
      <c r="E30" s="69"/>
      <c r="F30" s="69"/>
      <c r="G30" s="69"/>
      <c r="H30" s="69"/>
      <c r="I30" s="68"/>
      <c r="J30" s="69"/>
    </row>
    <row r="31" spans="2:10" ht="13" x14ac:dyDescent="0.3">
      <c r="B31" s="69"/>
      <c r="C31" s="69"/>
      <c r="D31" s="69"/>
      <c r="E31" s="69"/>
      <c r="F31" s="69"/>
      <c r="G31" s="69"/>
      <c r="H31" s="69"/>
      <c r="I31" s="68"/>
      <c r="J31" s="69"/>
    </row>
    <row r="32" spans="2:10" ht="13" x14ac:dyDescent="0.3">
      <c r="B32" s="69"/>
      <c r="C32" s="69"/>
      <c r="D32" s="69"/>
      <c r="E32" s="69"/>
      <c r="F32" s="69"/>
      <c r="G32" s="69"/>
      <c r="H32" s="69"/>
      <c r="I32" s="68"/>
      <c r="J32" s="69"/>
    </row>
    <row r="33" spans="2:10" ht="13" x14ac:dyDescent="0.3">
      <c r="B33" s="69"/>
      <c r="C33" s="69"/>
      <c r="D33" s="69"/>
      <c r="E33" s="69"/>
      <c r="F33" s="69"/>
      <c r="G33" s="69"/>
      <c r="H33" s="69"/>
      <c r="I33" s="68"/>
      <c r="J33" s="69"/>
    </row>
  </sheetData>
  <sheetProtection sheet="1" objects="1" scenarios="1"/>
  <phoneticPr fontId="0" type="noConversion"/>
  <pageMargins left="0.75" right="0.75" top="1" bottom="1" header="0.5" footer="0.5"/>
  <pageSetup orientation="portrait" horizontalDpi="300" verticalDpi="300" r:id="rId1"/>
  <headerFooter alignWithMargins="0">
    <oddHeader>&amp;A</oddHead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N135"/>
  <sheetViews>
    <sheetView workbookViewId="0">
      <selection activeCell="O1" sqref="O1"/>
    </sheetView>
  </sheetViews>
  <sheetFormatPr defaultRowHeight="12.5" x14ac:dyDescent="0.25"/>
  <sheetData>
    <row r="8" spans="2:10" ht="13" x14ac:dyDescent="0.3">
      <c r="B8" s="69"/>
      <c r="C8" s="69"/>
      <c r="D8" s="69"/>
      <c r="E8" s="69"/>
      <c r="F8" s="69"/>
      <c r="G8" s="69"/>
      <c r="H8" s="69"/>
      <c r="I8" s="68"/>
      <c r="J8" s="69"/>
    </row>
    <row r="9" spans="2:10" ht="13" x14ac:dyDescent="0.3">
      <c r="B9" s="69"/>
      <c r="C9" s="69"/>
      <c r="D9" s="69"/>
      <c r="E9" s="69"/>
      <c r="F9" s="69"/>
      <c r="G9" s="69"/>
      <c r="H9" s="69"/>
      <c r="I9" s="68"/>
      <c r="J9" s="69"/>
    </row>
    <row r="10" spans="2:10" ht="13" x14ac:dyDescent="0.3">
      <c r="B10" s="69"/>
      <c r="C10" s="69"/>
      <c r="D10" s="69"/>
      <c r="E10" s="69"/>
      <c r="F10" s="69"/>
      <c r="G10" s="69"/>
      <c r="H10" s="69"/>
      <c r="I10" s="68"/>
      <c r="J10" s="69"/>
    </row>
    <row r="11" spans="2:10" ht="13" x14ac:dyDescent="0.3">
      <c r="B11" s="69"/>
      <c r="C11" s="69"/>
      <c r="D11" s="69"/>
      <c r="E11" s="69"/>
      <c r="F11" s="69"/>
      <c r="G11" s="69"/>
      <c r="H11" s="69"/>
      <c r="I11" s="68"/>
      <c r="J11" s="69"/>
    </row>
    <row r="12" spans="2:10" ht="13" x14ac:dyDescent="0.3">
      <c r="B12" s="69"/>
      <c r="C12" s="69"/>
      <c r="D12" s="69"/>
      <c r="E12" s="69"/>
      <c r="F12" s="69"/>
      <c r="G12" s="69"/>
      <c r="H12" s="69"/>
      <c r="I12" s="68"/>
      <c r="J12" s="69"/>
    </row>
    <row r="13" spans="2:10" ht="13" x14ac:dyDescent="0.3">
      <c r="B13" s="69"/>
      <c r="C13" s="69"/>
      <c r="D13" s="69"/>
      <c r="E13" s="69"/>
      <c r="F13" s="69"/>
      <c r="G13" s="69"/>
      <c r="H13" s="69"/>
      <c r="I13" s="68"/>
      <c r="J13" s="69"/>
    </row>
    <row r="14" spans="2:10" ht="13" x14ac:dyDescent="0.3">
      <c r="B14" s="69"/>
      <c r="C14" s="69"/>
      <c r="D14" s="69"/>
      <c r="E14" s="69"/>
      <c r="F14" s="69"/>
      <c r="G14" s="69"/>
      <c r="H14" s="69"/>
      <c r="I14" s="68"/>
      <c r="J14" s="69"/>
    </row>
    <row r="15" spans="2:10" ht="13" x14ac:dyDescent="0.3">
      <c r="B15" s="69"/>
      <c r="C15" s="69"/>
      <c r="D15" s="69"/>
      <c r="E15" s="69"/>
      <c r="F15" s="69"/>
      <c r="G15" s="69"/>
      <c r="H15" s="69"/>
      <c r="I15" s="68"/>
      <c r="J15" s="69"/>
    </row>
    <row r="16" spans="2:10" ht="13" x14ac:dyDescent="0.3">
      <c r="B16" s="69"/>
      <c r="C16" s="69"/>
      <c r="D16" s="69"/>
      <c r="E16" s="69"/>
      <c r="F16" s="69"/>
      <c r="G16" s="69"/>
      <c r="H16" s="69"/>
      <c r="I16" s="68"/>
      <c r="J16" s="69"/>
    </row>
    <row r="17" spans="2:14" ht="13" x14ac:dyDescent="0.3">
      <c r="B17" s="69"/>
      <c r="C17" s="69"/>
      <c r="D17" s="69"/>
      <c r="E17" s="69"/>
      <c r="F17" s="69"/>
      <c r="G17" s="69"/>
      <c r="H17" s="69"/>
      <c r="I17" s="68"/>
      <c r="J17" s="69"/>
    </row>
    <row r="18" spans="2:14" ht="13" x14ac:dyDescent="0.3">
      <c r="B18" s="69"/>
      <c r="C18" s="69"/>
      <c r="D18" s="69"/>
      <c r="E18" s="69"/>
      <c r="F18" s="69"/>
      <c r="G18" s="69"/>
      <c r="H18" s="69"/>
      <c r="I18" s="68"/>
      <c r="J18" s="69"/>
    </row>
    <row r="19" spans="2:14" ht="13" x14ac:dyDescent="0.3">
      <c r="B19" s="69"/>
      <c r="C19" s="69"/>
      <c r="D19" s="69"/>
      <c r="E19" s="69"/>
      <c r="F19" s="69"/>
      <c r="G19" s="69"/>
      <c r="H19" s="69"/>
      <c r="I19" s="68"/>
      <c r="J19" s="69"/>
    </row>
    <row r="20" spans="2:14" ht="13" x14ac:dyDescent="0.3">
      <c r="B20" s="69"/>
      <c r="C20" s="69"/>
      <c r="D20" s="69"/>
      <c r="E20" s="69"/>
      <c r="F20" s="69"/>
      <c r="G20" s="69"/>
      <c r="H20" s="69"/>
      <c r="I20" s="68"/>
      <c r="J20" s="69"/>
    </row>
    <row r="21" spans="2:14" ht="13" x14ac:dyDescent="0.3">
      <c r="B21" s="69"/>
      <c r="C21" s="69"/>
      <c r="D21" s="69"/>
      <c r="E21" s="69"/>
      <c r="F21" s="69"/>
      <c r="G21" s="69"/>
      <c r="H21" s="69"/>
      <c r="I21" s="68"/>
      <c r="J21" s="69"/>
    </row>
    <row r="22" spans="2:14" ht="13" x14ac:dyDescent="0.3">
      <c r="B22" s="69"/>
      <c r="C22" s="69"/>
      <c r="D22" s="69"/>
      <c r="E22" s="69"/>
      <c r="F22" s="69"/>
      <c r="G22" s="69"/>
      <c r="H22" s="69"/>
      <c r="I22" s="68"/>
      <c r="J22" s="69"/>
    </row>
    <row r="23" spans="2:14" ht="13" x14ac:dyDescent="0.3">
      <c r="B23" s="85"/>
      <c r="C23" s="69"/>
      <c r="D23" s="69"/>
      <c r="E23" s="69"/>
      <c r="F23" s="69"/>
      <c r="G23" s="69"/>
      <c r="H23" s="69"/>
      <c r="I23" s="68"/>
      <c r="J23" s="69"/>
    </row>
    <row r="26" spans="2:14" x14ac:dyDescent="0.25">
      <c r="N26" s="69"/>
    </row>
    <row r="27" spans="2:14" ht="13" x14ac:dyDescent="0.3">
      <c r="B27" s="80"/>
    </row>
    <row r="42" spans="2:10" ht="13" x14ac:dyDescent="0.3">
      <c r="B42" s="69"/>
      <c r="C42" s="69"/>
      <c r="D42" s="69"/>
      <c r="E42" s="69"/>
      <c r="F42" s="69"/>
      <c r="G42" s="69"/>
      <c r="H42" s="69"/>
      <c r="I42" s="68"/>
      <c r="J42" s="69"/>
    </row>
    <row r="43" spans="2:10" ht="13" x14ac:dyDescent="0.3">
      <c r="B43" s="69"/>
      <c r="C43" s="69"/>
      <c r="D43" s="69"/>
      <c r="E43" s="69"/>
      <c r="F43" s="69"/>
      <c r="G43" s="69"/>
      <c r="H43" s="69"/>
      <c r="I43" s="68"/>
      <c r="J43" s="69"/>
    </row>
    <row r="44" spans="2:10" ht="13" x14ac:dyDescent="0.3">
      <c r="B44" s="69"/>
      <c r="C44" s="69"/>
      <c r="D44" s="69"/>
      <c r="E44" s="69"/>
      <c r="F44" s="69"/>
      <c r="G44" s="69"/>
      <c r="H44" s="69"/>
      <c r="I44" s="68"/>
      <c r="J44" s="69"/>
    </row>
    <row r="45" spans="2:10" ht="13" x14ac:dyDescent="0.3">
      <c r="B45" s="69"/>
      <c r="C45" s="69"/>
      <c r="D45" s="69"/>
      <c r="E45" s="69"/>
      <c r="F45" s="69"/>
      <c r="G45" s="69"/>
      <c r="H45" s="69"/>
      <c r="I45" s="68"/>
      <c r="J45" s="69"/>
    </row>
    <row r="46" spans="2:10" ht="13" x14ac:dyDescent="0.3">
      <c r="B46" s="69"/>
      <c r="C46" s="69"/>
      <c r="D46" s="69"/>
      <c r="E46" s="69"/>
      <c r="F46" s="69"/>
      <c r="G46" s="69"/>
      <c r="H46" s="69"/>
      <c r="I46" s="68"/>
      <c r="J46" s="69"/>
    </row>
    <row r="47" spans="2:10" ht="13" x14ac:dyDescent="0.3">
      <c r="B47" s="69"/>
      <c r="C47" s="69"/>
      <c r="D47" s="69"/>
      <c r="E47" s="69"/>
      <c r="F47" s="69"/>
      <c r="G47" s="69"/>
      <c r="H47" s="69"/>
      <c r="I47" s="68"/>
      <c r="J47" s="69"/>
    </row>
    <row r="77" spans="2:4" x14ac:dyDescent="0.25">
      <c r="B77" s="54"/>
      <c r="D77" s="54"/>
    </row>
    <row r="78" spans="2:4" x14ac:dyDescent="0.25">
      <c r="B78" s="54"/>
    </row>
    <row r="79" spans="2:4" x14ac:dyDescent="0.25">
      <c r="B79" s="54"/>
      <c r="D79" s="53"/>
    </row>
    <row r="80" spans="2:4" x14ac:dyDescent="0.25">
      <c r="B80" s="54"/>
      <c r="D80" s="53"/>
    </row>
    <row r="81" spans="2:4" x14ac:dyDescent="0.25">
      <c r="B81" s="54"/>
      <c r="D81" s="53"/>
    </row>
    <row r="82" spans="2:4" x14ac:dyDescent="0.25">
      <c r="B82" s="54"/>
      <c r="D82" s="53"/>
    </row>
    <row r="83" spans="2:4" x14ac:dyDescent="0.25">
      <c r="B83" s="54"/>
      <c r="D83" s="53"/>
    </row>
    <row r="85" spans="2:4" x14ac:dyDescent="0.25">
      <c r="B85" s="61"/>
    </row>
    <row r="86" spans="2:4" x14ac:dyDescent="0.25">
      <c r="B86" s="61"/>
    </row>
    <row r="87" spans="2:4" x14ac:dyDescent="0.25">
      <c r="B87" s="61"/>
    </row>
    <row r="88" spans="2:4" x14ac:dyDescent="0.25">
      <c r="B88" s="61"/>
    </row>
    <row r="89" spans="2:4" x14ac:dyDescent="0.25">
      <c r="B89" s="61"/>
    </row>
    <row r="90" spans="2:4" x14ac:dyDescent="0.25">
      <c r="B90" s="61"/>
    </row>
    <row r="91" spans="2:4" x14ac:dyDescent="0.25">
      <c r="B91" s="61"/>
    </row>
    <row r="92" spans="2:4" x14ac:dyDescent="0.25">
      <c r="B92" s="61"/>
    </row>
    <row r="93" spans="2:4" x14ac:dyDescent="0.25">
      <c r="B93" s="61"/>
    </row>
    <row r="94" spans="2:4" x14ac:dyDescent="0.25">
      <c r="B94" s="61"/>
    </row>
    <row r="95" spans="2:4" x14ac:dyDescent="0.25">
      <c r="B95" s="61"/>
    </row>
    <row r="96" spans="2:4"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61"/>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21"/>
  <sheetViews>
    <sheetView workbookViewId="0">
      <selection activeCell="T1" sqref="T1"/>
    </sheetView>
  </sheetViews>
  <sheetFormatPr defaultRowHeight="12.5" x14ac:dyDescent="0.25"/>
  <sheetData>
    <row r="8" spans="2:2" ht="13" x14ac:dyDescent="0.3">
      <c r="B8" s="5"/>
    </row>
    <row r="16" spans="2:2" x14ac:dyDescent="0.25">
      <c r="B16" s="61"/>
    </row>
    <row r="17" spans="2:2" x14ac:dyDescent="0.25">
      <c r="B17" s="61"/>
    </row>
    <row r="18" spans="2:2" x14ac:dyDescent="0.25">
      <c r="B18" s="61"/>
    </row>
    <row r="19" spans="2:2" x14ac:dyDescent="0.25">
      <c r="B19" s="61"/>
    </row>
    <row r="20" spans="2:2" x14ac:dyDescent="0.25">
      <c r="B20" s="61"/>
    </row>
    <row r="21" spans="2:2" x14ac:dyDescent="0.25">
      <c r="B21" s="61"/>
    </row>
  </sheetData>
  <sheetProtection sheet="1" objects="1" scenarios="1"/>
  <phoneticPr fontId="0" type="noConversion"/>
  <pageMargins left="0.75" right="0.75" top="1" bottom="1" header="0.5" footer="0.5"/>
  <headerFooter alignWithMargins="0">
    <oddHeader>&amp;A</oddHeader>
    <oddFooter>Page &amp;P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233"/>
  <sheetViews>
    <sheetView workbookViewId="0">
      <selection activeCell="A189" sqref="A189:IV2063"/>
    </sheetView>
  </sheetViews>
  <sheetFormatPr defaultRowHeight="12.5" x14ac:dyDescent="0.25"/>
  <sheetData>
    <row r="8" spans="2:2" x14ac:dyDescent="0.25">
      <c r="B8" s="61"/>
    </row>
    <row r="9" spans="2:2" ht="13" x14ac:dyDescent="0.3">
      <c r="B9" s="9"/>
    </row>
    <row r="10" spans="2:2" ht="13" x14ac:dyDescent="0.3">
      <c r="B10" s="5"/>
    </row>
    <row r="11" spans="2:2" ht="13" x14ac:dyDescent="0.3">
      <c r="B11" s="80"/>
    </row>
    <row r="14" spans="2:2" ht="13" x14ac:dyDescent="0.3">
      <c r="B14" s="5"/>
    </row>
    <row r="15" spans="2:2" ht="13" x14ac:dyDescent="0.3">
      <c r="B15" s="5"/>
    </row>
    <row r="68" spans="15:15" x14ac:dyDescent="0.25">
      <c r="O68" s="264"/>
    </row>
    <row r="101" spans="1:2" s="66" customFormat="1" x14ac:dyDescent="0.25">
      <c r="A101"/>
      <c r="B101"/>
    </row>
    <row r="102" spans="1:2" s="66" customFormat="1" x14ac:dyDescent="0.25">
      <c r="B102"/>
    </row>
    <row r="103" spans="1:2" x14ac:dyDescent="0.25">
      <c r="A103" s="66"/>
    </row>
    <row r="225" spans="2:2" ht="13" x14ac:dyDescent="0.3">
      <c r="B225" s="266"/>
    </row>
    <row r="226" spans="2:2" ht="13" x14ac:dyDescent="0.3">
      <c r="B226" s="266"/>
    </row>
    <row r="227" spans="2:2" ht="13" x14ac:dyDescent="0.3">
      <c r="B227" s="266"/>
    </row>
    <row r="228" spans="2:2" ht="13" x14ac:dyDescent="0.3">
      <c r="B228" s="266"/>
    </row>
    <row r="229" spans="2:2" ht="13" x14ac:dyDescent="0.3">
      <c r="B229" s="266"/>
    </row>
    <row r="230" spans="2:2" ht="13" x14ac:dyDescent="0.3">
      <c r="B230" s="266"/>
    </row>
    <row r="231" spans="2:2" ht="13" x14ac:dyDescent="0.3">
      <c r="B231" s="266"/>
    </row>
    <row r="232" spans="2:2" ht="13" x14ac:dyDescent="0.3">
      <c r="B232" s="266"/>
    </row>
    <row r="233" spans="2:2" ht="13" x14ac:dyDescent="0.3">
      <c r="B233" s="266"/>
    </row>
  </sheetData>
  <sheetProtection sheet="1" objects="1" scenarios="1"/>
  <phoneticPr fontId="0" type="noConversion"/>
  <pageMargins left="0.75" right="0.75" top="1" bottom="1" header="0.5" footer="0.5"/>
  <pageSetup orientation="portrait" horizontalDpi="300" verticalDpi="300" r:id="rId1"/>
  <headerFooter alignWithMargins="0">
    <oddHeader>&amp;A</oddHead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Calculator</vt:lpstr>
      <vt:lpstr>Introduction</vt:lpstr>
      <vt:lpstr>Note 1</vt:lpstr>
      <vt:lpstr>Note 2</vt:lpstr>
      <vt:lpstr>Note 3</vt:lpstr>
      <vt:lpstr>Note 4</vt:lpstr>
      <vt:lpstr>Note 5</vt:lpstr>
      <vt:lpstr>Note 6</vt:lpstr>
      <vt:lpstr>Note 7</vt:lpstr>
      <vt:lpstr>Note 8</vt:lpstr>
      <vt:lpstr>Note 9</vt:lpstr>
      <vt:lpstr>Example 1</vt:lpstr>
      <vt:lpstr>Example 2</vt:lpstr>
      <vt:lpstr>Example 3</vt:lpstr>
      <vt:lpstr>Example 4</vt:lpstr>
      <vt:lpstr>Calculator!OLE_LINK2</vt:lpstr>
      <vt:lpstr>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 Just Another DoF Calculator!</dc:title>
  <dc:creator>Mike Davis</dc:creator>
  <cp:lastModifiedBy>Mike</cp:lastModifiedBy>
  <cp:lastPrinted>2001-12-01T21:53:58Z</cp:lastPrinted>
  <dcterms:created xsi:type="dcterms:W3CDTF">2000-06-28T09:41:48Z</dcterms:created>
  <dcterms:modified xsi:type="dcterms:W3CDTF">2021-06-13T16:22:18Z</dcterms:modified>
</cp:coreProperties>
</file>